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Nowe Jakubki\Documents\"/>
    </mc:Choice>
  </mc:AlternateContent>
  <xr:revisionPtr revIDLastSave="0" documentId="13_ncr:1_{A8D5B003-0550-49B4-8067-E4C1C4DF2E83}" xr6:coauthVersionLast="47" xr6:coauthVersionMax="47" xr10:uidLastSave="{00000000-0000-0000-0000-000000000000}"/>
  <bookViews>
    <workbookView xWindow="39030" yWindow="5205" windowWidth="21600" windowHeight="11835" firstSheet="1" activeTab="11" xr2:uid="{00000000-000D-0000-FFFF-FFFF00000000}"/>
  </bookViews>
  <sheets>
    <sheet name="do zrobienia" sheetId="9" r:id="rId1"/>
    <sheet name="KALKULATOR" sheetId="1" r:id="rId2"/>
    <sheet name="KALKULATOR_EL" sheetId="19" r:id="rId3"/>
    <sheet name="K" sheetId="11" r:id="rId4"/>
    <sheet name="N" sheetId="12" r:id="rId5"/>
    <sheet name="RPP" sheetId="13" r:id="rId6"/>
    <sheet name="RPK" sheetId="15" r:id="rId7"/>
    <sheet name="RNK" sheetId="16" r:id="rId8"/>
    <sheet name="O" sheetId="17" r:id="rId9"/>
    <sheet name="P" sheetId="18" r:id="rId10"/>
    <sheet name="PRZEWODY" sheetId="5" r:id="rId11"/>
    <sheet name="SŁUPY" sheetId="6" r:id="rId12"/>
    <sheet name="OBLICZENIA" sheetId="7" r:id="rId13"/>
  </sheets>
  <calcPr calcId="191029"/>
</workbook>
</file>

<file path=xl/calcChain.xml><?xml version="1.0" encoding="utf-8"?>
<calcChain xmlns="http://schemas.openxmlformats.org/spreadsheetml/2006/main">
  <c r="B80" i="5" l="1"/>
  <c r="C80" i="5"/>
  <c r="D80" i="5"/>
  <c r="E80" i="5"/>
  <c r="F80" i="5"/>
  <c r="G80" i="5"/>
  <c r="H80" i="5"/>
  <c r="K80" i="5" s="1"/>
  <c r="N80" i="5" s="1"/>
  <c r="Q80" i="5" s="1"/>
  <c r="T80" i="5" s="1"/>
  <c r="I80" i="5"/>
  <c r="J80" i="5"/>
  <c r="L80" i="5"/>
  <c r="O80" i="5" s="1"/>
  <c r="R80" i="5" s="1"/>
  <c r="M80" i="5"/>
  <c r="P80" i="5" s="1"/>
  <c r="S80" i="5" s="1"/>
  <c r="U80" i="5"/>
  <c r="V80" i="5"/>
  <c r="W80" i="5"/>
  <c r="X80" i="5"/>
  <c r="Y80" i="5"/>
  <c r="Z80" i="5"/>
  <c r="AA80" i="5"/>
  <c r="B81" i="5"/>
  <c r="C81" i="5"/>
  <c r="F81" i="5" s="1"/>
  <c r="I81" i="5" s="1"/>
  <c r="L81" i="5" s="1"/>
  <c r="O81" i="5" s="1"/>
  <c r="R81" i="5" s="1"/>
  <c r="D81" i="5"/>
  <c r="G81" i="5" s="1"/>
  <c r="J81" i="5" s="1"/>
  <c r="M81" i="5" s="1"/>
  <c r="P81" i="5" s="1"/>
  <c r="S81" i="5" s="1"/>
  <c r="E81" i="5"/>
  <c r="H81" i="5" s="1"/>
  <c r="K81" i="5" s="1"/>
  <c r="N81" i="5" s="1"/>
  <c r="Q81" i="5" s="1"/>
  <c r="T81" i="5" s="1"/>
  <c r="U81" i="5"/>
  <c r="V81" i="5"/>
  <c r="W81" i="5"/>
  <c r="X81" i="5"/>
  <c r="Y81" i="5"/>
  <c r="Z81" i="5"/>
  <c r="AA81" i="5"/>
  <c r="B82" i="5"/>
  <c r="C82" i="5"/>
  <c r="F82" i="5" s="1"/>
  <c r="I82" i="5" s="1"/>
  <c r="L82" i="5" s="1"/>
  <c r="O82" i="5" s="1"/>
  <c r="R82" i="5" s="1"/>
  <c r="D82" i="5"/>
  <c r="G82" i="5" s="1"/>
  <c r="J82" i="5" s="1"/>
  <c r="M82" i="5" s="1"/>
  <c r="P82" i="5" s="1"/>
  <c r="S82" i="5" s="1"/>
  <c r="E82" i="5"/>
  <c r="H82" i="5" s="1"/>
  <c r="K82" i="5" s="1"/>
  <c r="N82" i="5" s="1"/>
  <c r="Q82" i="5" s="1"/>
  <c r="T82" i="5" s="1"/>
  <c r="U82" i="5"/>
  <c r="V82" i="5"/>
  <c r="W82" i="5"/>
  <c r="X82" i="5"/>
  <c r="Y82" i="5"/>
  <c r="Z82" i="5"/>
  <c r="AA82" i="5"/>
  <c r="B83" i="5"/>
  <c r="C83" i="5"/>
  <c r="F83" i="5" s="1"/>
  <c r="I83" i="5" s="1"/>
  <c r="L83" i="5" s="1"/>
  <c r="O83" i="5" s="1"/>
  <c r="R83" i="5" s="1"/>
  <c r="D83" i="5"/>
  <c r="G83" i="5" s="1"/>
  <c r="J83" i="5" s="1"/>
  <c r="M83" i="5" s="1"/>
  <c r="P83" i="5" s="1"/>
  <c r="S83" i="5" s="1"/>
  <c r="E83" i="5"/>
  <c r="H83" i="5" s="1"/>
  <c r="K83" i="5" s="1"/>
  <c r="N83" i="5" s="1"/>
  <c r="Q83" i="5" s="1"/>
  <c r="T83" i="5" s="1"/>
  <c r="U83" i="5"/>
  <c r="V83" i="5"/>
  <c r="W83" i="5"/>
  <c r="X83" i="5"/>
  <c r="Y83" i="5"/>
  <c r="Z83" i="5"/>
  <c r="AA83" i="5"/>
  <c r="B84" i="5"/>
  <c r="C84" i="5"/>
  <c r="F84" i="5" s="1"/>
  <c r="I84" i="5" s="1"/>
  <c r="L84" i="5" s="1"/>
  <c r="O84" i="5" s="1"/>
  <c r="R84" i="5" s="1"/>
  <c r="D84" i="5"/>
  <c r="G84" i="5" s="1"/>
  <c r="J84" i="5" s="1"/>
  <c r="M84" i="5" s="1"/>
  <c r="P84" i="5" s="1"/>
  <c r="S84" i="5" s="1"/>
  <c r="E84" i="5"/>
  <c r="H84" i="5" s="1"/>
  <c r="K84" i="5" s="1"/>
  <c r="N84" i="5" s="1"/>
  <c r="Q84" i="5" s="1"/>
  <c r="T84" i="5" s="1"/>
  <c r="U84" i="5"/>
  <c r="V84" i="5"/>
  <c r="W84" i="5"/>
  <c r="X84" i="5"/>
  <c r="Y84" i="5"/>
  <c r="Z84" i="5"/>
  <c r="AA84" i="5"/>
  <c r="B85" i="5"/>
  <c r="C85" i="5"/>
  <c r="F85" i="5" s="1"/>
  <c r="I85" i="5" s="1"/>
  <c r="L85" i="5" s="1"/>
  <c r="O85" i="5" s="1"/>
  <c r="R85" i="5" s="1"/>
  <c r="D85" i="5"/>
  <c r="G85" i="5" s="1"/>
  <c r="J85" i="5" s="1"/>
  <c r="M85" i="5" s="1"/>
  <c r="P85" i="5" s="1"/>
  <c r="S85" i="5" s="1"/>
  <c r="E85" i="5"/>
  <c r="H85" i="5" s="1"/>
  <c r="K85" i="5" s="1"/>
  <c r="N85" i="5" s="1"/>
  <c r="Q85" i="5" s="1"/>
  <c r="T85" i="5" s="1"/>
  <c r="U85" i="5"/>
  <c r="V85" i="5"/>
  <c r="W85" i="5"/>
  <c r="X85" i="5"/>
  <c r="Y85" i="5"/>
  <c r="Z85" i="5"/>
  <c r="AA85" i="5"/>
  <c r="B86" i="5"/>
  <c r="C86" i="5"/>
  <c r="F86" i="5" s="1"/>
  <c r="I86" i="5" s="1"/>
  <c r="L86" i="5" s="1"/>
  <c r="O86" i="5" s="1"/>
  <c r="R86" i="5" s="1"/>
  <c r="D86" i="5"/>
  <c r="G86" i="5" s="1"/>
  <c r="J86" i="5" s="1"/>
  <c r="M86" i="5" s="1"/>
  <c r="P86" i="5" s="1"/>
  <c r="S86" i="5" s="1"/>
  <c r="E86" i="5"/>
  <c r="H86" i="5" s="1"/>
  <c r="K86" i="5" s="1"/>
  <c r="N86" i="5" s="1"/>
  <c r="Q86" i="5" s="1"/>
  <c r="T86" i="5" s="1"/>
  <c r="U86" i="5"/>
  <c r="V86" i="5"/>
  <c r="W86" i="5"/>
  <c r="X86" i="5"/>
  <c r="Y86" i="5"/>
  <c r="Z86" i="5"/>
  <c r="AA86" i="5"/>
  <c r="B87" i="5"/>
  <c r="C87" i="5"/>
  <c r="F87" i="5" s="1"/>
  <c r="I87" i="5" s="1"/>
  <c r="L87" i="5" s="1"/>
  <c r="O87" i="5" s="1"/>
  <c r="R87" i="5" s="1"/>
  <c r="D87" i="5"/>
  <c r="G87" i="5" s="1"/>
  <c r="J87" i="5" s="1"/>
  <c r="M87" i="5" s="1"/>
  <c r="P87" i="5" s="1"/>
  <c r="S87" i="5" s="1"/>
  <c r="E87" i="5"/>
  <c r="H87" i="5" s="1"/>
  <c r="K87" i="5" s="1"/>
  <c r="N87" i="5" s="1"/>
  <c r="Q87" i="5" s="1"/>
  <c r="T87" i="5" s="1"/>
  <c r="U87" i="5"/>
  <c r="V87" i="5"/>
  <c r="W87" i="5"/>
  <c r="X87" i="5"/>
  <c r="Y87" i="5"/>
  <c r="Z87" i="5"/>
  <c r="AA87" i="5"/>
  <c r="B88" i="5"/>
  <c r="C88" i="5"/>
  <c r="F88" i="5" s="1"/>
  <c r="I88" i="5" s="1"/>
  <c r="L88" i="5" s="1"/>
  <c r="O88" i="5" s="1"/>
  <c r="R88" i="5" s="1"/>
  <c r="D88" i="5"/>
  <c r="G88" i="5" s="1"/>
  <c r="J88" i="5" s="1"/>
  <c r="M88" i="5" s="1"/>
  <c r="P88" i="5" s="1"/>
  <c r="S88" i="5" s="1"/>
  <c r="E88" i="5"/>
  <c r="H88" i="5" s="1"/>
  <c r="K88" i="5" s="1"/>
  <c r="N88" i="5" s="1"/>
  <c r="Q88" i="5" s="1"/>
  <c r="T88" i="5" s="1"/>
  <c r="U88" i="5"/>
  <c r="V88" i="5"/>
  <c r="W88" i="5"/>
  <c r="X88" i="5"/>
  <c r="Y88" i="5"/>
  <c r="Z88" i="5"/>
  <c r="AA88" i="5"/>
  <c r="B89" i="5"/>
  <c r="C89" i="5"/>
  <c r="F89" i="5" s="1"/>
  <c r="I89" i="5" s="1"/>
  <c r="L89" i="5" s="1"/>
  <c r="O89" i="5" s="1"/>
  <c r="R89" i="5" s="1"/>
  <c r="D89" i="5"/>
  <c r="G89" i="5" s="1"/>
  <c r="J89" i="5" s="1"/>
  <c r="M89" i="5" s="1"/>
  <c r="P89" i="5" s="1"/>
  <c r="S89" i="5" s="1"/>
  <c r="E89" i="5"/>
  <c r="H89" i="5" s="1"/>
  <c r="K89" i="5" s="1"/>
  <c r="N89" i="5" s="1"/>
  <c r="Q89" i="5" s="1"/>
  <c r="T89" i="5" s="1"/>
  <c r="U89" i="5"/>
  <c r="V89" i="5"/>
  <c r="W89" i="5"/>
  <c r="X89" i="5"/>
  <c r="Y89" i="5"/>
  <c r="Z89" i="5"/>
  <c r="AA89" i="5"/>
  <c r="B90" i="5"/>
  <c r="C90" i="5"/>
  <c r="D90" i="5"/>
  <c r="G90" i="5" s="1"/>
  <c r="J90" i="5" s="1"/>
  <c r="M90" i="5" s="1"/>
  <c r="P90" i="5" s="1"/>
  <c r="S90" i="5" s="1"/>
  <c r="E90" i="5"/>
  <c r="H90" i="5" s="1"/>
  <c r="K90" i="5" s="1"/>
  <c r="N90" i="5" s="1"/>
  <c r="Q90" i="5" s="1"/>
  <c r="T90" i="5" s="1"/>
  <c r="F90" i="5"/>
  <c r="I90" i="5" s="1"/>
  <c r="L90" i="5" s="1"/>
  <c r="O90" i="5" s="1"/>
  <c r="R90" i="5" s="1"/>
  <c r="U90" i="5"/>
  <c r="V90" i="5"/>
  <c r="W90" i="5"/>
  <c r="X90" i="5"/>
  <c r="Y90" i="5"/>
  <c r="Z90" i="5"/>
  <c r="AA90" i="5"/>
  <c r="B91" i="5"/>
  <c r="C91" i="5"/>
  <c r="F91" i="5" s="1"/>
  <c r="I91" i="5" s="1"/>
  <c r="L91" i="5" s="1"/>
  <c r="O91" i="5" s="1"/>
  <c r="R91" i="5" s="1"/>
  <c r="D91" i="5"/>
  <c r="G91" i="5" s="1"/>
  <c r="J91" i="5" s="1"/>
  <c r="M91" i="5" s="1"/>
  <c r="P91" i="5" s="1"/>
  <c r="S91" i="5" s="1"/>
  <c r="E91" i="5"/>
  <c r="H91" i="5" s="1"/>
  <c r="K91" i="5" s="1"/>
  <c r="N91" i="5" s="1"/>
  <c r="Q91" i="5" s="1"/>
  <c r="T91" i="5" s="1"/>
  <c r="U91" i="5"/>
  <c r="V91" i="5"/>
  <c r="W91" i="5"/>
  <c r="X91" i="5"/>
  <c r="Y91" i="5"/>
  <c r="Z91" i="5"/>
  <c r="AA91" i="5"/>
  <c r="B92" i="5"/>
  <c r="C92" i="5"/>
  <c r="F92" i="5" s="1"/>
  <c r="I92" i="5" s="1"/>
  <c r="L92" i="5" s="1"/>
  <c r="O92" i="5" s="1"/>
  <c r="R92" i="5" s="1"/>
  <c r="D92" i="5"/>
  <c r="G92" i="5" s="1"/>
  <c r="J92" i="5" s="1"/>
  <c r="M92" i="5" s="1"/>
  <c r="P92" i="5" s="1"/>
  <c r="S92" i="5" s="1"/>
  <c r="E92" i="5"/>
  <c r="H92" i="5" s="1"/>
  <c r="K92" i="5" s="1"/>
  <c r="N92" i="5" s="1"/>
  <c r="Q92" i="5" s="1"/>
  <c r="T92" i="5" s="1"/>
  <c r="U92" i="5"/>
  <c r="V92" i="5"/>
  <c r="W92" i="5"/>
  <c r="X92" i="5"/>
  <c r="Y92" i="5"/>
  <c r="Z92" i="5"/>
  <c r="AA92" i="5"/>
  <c r="B93" i="5"/>
  <c r="C93" i="5"/>
  <c r="F93" i="5" s="1"/>
  <c r="I93" i="5" s="1"/>
  <c r="L93" i="5" s="1"/>
  <c r="O93" i="5" s="1"/>
  <c r="R93" i="5" s="1"/>
  <c r="D93" i="5"/>
  <c r="G93" i="5" s="1"/>
  <c r="J93" i="5" s="1"/>
  <c r="M93" i="5" s="1"/>
  <c r="P93" i="5" s="1"/>
  <c r="S93" i="5" s="1"/>
  <c r="E93" i="5"/>
  <c r="H93" i="5" s="1"/>
  <c r="K93" i="5" s="1"/>
  <c r="N93" i="5" s="1"/>
  <c r="Q93" i="5" s="1"/>
  <c r="T93" i="5" s="1"/>
  <c r="U93" i="5"/>
  <c r="V93" i="5"/>
  <c r="W93" i="5"/>
  <c r="X93" i="5"/>
  <c r="Y93" i="5"/>
  <c r="Z93" i="5"/>
  <c r="AA93" i="5"/>
  <c r="B94" i="5"/>
  <c r="C94" i="5"/>
  <c r="F94" i="5" s="1"/>
  <c r="I94" i="5" s="1"/>
  <c r="L94" i="5" s="1"/>
  <c r="O94" i="5" s="1"/>
  <c r="R94" i="5" s="1"/>
  <c r="D94" i="5"/>
  <c r="G94" i="5" s="1"/>
  <c r="J94" i="5" s="1"/>
  <c r="M94" i="5" s="1"/>
  <c r="P94" i="5" s="1"/>
  <c r="S94" i="5" s="1"/>
  <c r="E94" i="5"/>
  <c r="H94" i="5" s="1"/>
  <c r="K94" i="5" s="1"/>
  <c r="N94" i="5" s="1"/>
  <c r="Q94" i="5" s="1"/>
  <c r="T94" i="5" s="1"/>
  <c r="U94" i="5"/>
  <c r="V94" i="5"/>
  <c r="W94" i="5"/>
  <c r="X94" i="5"/>
  <c r="Y94" i="5"/>
  <c r="Z94" i="5"/>
  <c r="AA94" i="5"/>
  <c r="B95" i="5"/>
  <c r="C95" i="5"/>
  <c r="F95" i="5" s="1"/>
  <c r="I95" i="5" s="1"/>
  <c r="L95" i="5" s="1"/>
  <c r="O95" i="5" s="1"/>
  <c r="R95" i="5" s="1"/>
  <c r="D95" i="5"/>
  <c r="G95" i="5" s="1"/>
  <c r="J95" i="5" s="1"/>
  <c r="M95" i="5" s="1"/>
  <c r="P95" i="5" s="1"/>
  <c r="S95" i="5" s="1"/>
  <c r="E95" i="5"/>
  <c r="H95" i="5" s="1"/>
  <c r="K95" i="5" s="1"/>
  <c r="N95" i="5" s="1"/>
  <c r="Q95" i="5" s="1"/>
  <c r="T95" i="5" s="1"/>
  <c r="U95" i="5"/>
  <c r="V95" i="5"/>
  <c r="W95" i="5"/>
  <c r="X95" i="5"/>
  <c r="Y95" i="5"/>
  <c r="Z95" i="5"/>
  <c r="AA95" i="5"/>
  <c r="B96" i="5"/>
  <c r="C96" i="5"/>
  <c r="F96" i="5" s="1"/>
  <c r="I96" i="5" s="1"/>
  <c r="L96" i="5" s="1"/>
  <c r="O96" i="5" s="1"/>
  <c r="R96" i="5" s="1"/>
  <c r="D96" i="5"/>
  <c r="G96" i="5" s="1"/>
  <c r="J96" i="5" s="1"/>
  <c r="M96" i="5" s="1"/>
  <c r="P96" i="5" s="1"/>
  <c r="S96" i="5" s="1"/>
  <c r="E96" i="5"/>
  <c r="H96" i="5" s="1"/>
  <c r="K96" i="5" s="1"/>
  <c r="N96" i="5" s="1"/>
  <c r="Q96" i="5" s="1"/>
  <c r="T96" i="5" s="1"/>
  <c r="U96" i="5"/>
  <c r="V96" i="5"/>
  <c r="W96" i="5"/>
  <c r="X96" i="5"/>
  <c r="Y96" i="5"/>
  <c r="Z96" i="5"/>
  <c r="AA96" i="5"/>
  <c r="B97" i="5"/>
  <c r="C97" i="5"/>
  <c r="F97" i="5" s="1"/>
  <c r="I97" i="5" s="1"/>
  <c r="L97" i="5" s="1"/>
  <c r="O97" i="5" s="1"/>
  <c r="R97" i="5" s="1"/>
  <c r="D97" i="5"/>
  <c r="G97" i="5" s="1"/>
  <c r="J97" i="5" s="1"/>
  <c r="M97" i="5" s="1"/>
  <c r="P97" i="5" s="1"/>
  <c r="S97" i="5" s="1"/>
  <c r="E97" i="5"/>
  <c r="H97" i="5" s="1"/>
  <c r="K97" i="5" s="1"/>
  <c r="N97" i="5" s="1"/>
  <c r="Q97" i="5" s="1"/>
  <c r="T97" i="5" s="1"/>
  <c r="U97" i="5"/>
  <c r="V97" i="5"/>
  <c r="W97" i="5"/>
  <c r="X97" i="5"/>
  <c r="Y97" i="5"/>
  <c r="Z97" i="5"/>
  <c r="AA97" i="5"/>
  <c r="B98" i="5"/>
  <c r="C98" i="5"/>
  <c r="F98" i="5" s="1"/>
  <c r="I98" i="5" s="1"/>
  <c r="L98" i="5" s="1"/>
  <c r="O98" i="5" s="1"/>
  <c r="R98" i="5" s="1"/>
  <c r="D98" i="5"/>
  <c r="G98" i="5" s="1"/>
  <c r="J98" i="5" s="1"/>
  <c r="M98" i="5" s="1"/>
  <c r="P98" i="5" s="1"/>
  <c r="S98" i="5" s="1"/>
  <c r="E98" i="5"/>
  <c r="H98" i="5" s="1"/>
  <c r="K98" i="5" s="1"/>
  <c r="N98" i="5" s="1"/>
  <c r="Q98" i="5" s="1"/>
  <c r="T98" i="5" s="1"/>
  <c r="U98" i="5"/>
  <c r="V98" i="5"/>
  <c r="W98" i="5"/>
  <c r="X98" i="5"/>
  <c r="Y98" i="5"/>
  <c r="Z98" i="5"/>
  <c r="AA98" i="5"/>
  <c r="B99" i="5"/>
  <c r="C99" i="5"/>
  <c r="F99" i="5" s="1"/>
  <c r="I99" i="5" s="1"/>
  <c r="L99" i="5" s="1"/>
  <c r="O99" i="5" s="1"/>
  <c r="R99" i="5" s="1"/>
  <c r="D99" i="5"/>
  <c r="G99" i="5" s="1"/>
  <c r="J99" i="5" s="1"/>
  <c r="M99" i="5" s="1"/>
  <c r="P99" i="5" s="1"/>
  <c r="S99" i="5" s="1"/>
  <c r="E99" i="5"/>
  <c r="H99" i="5" s="1"/>
  <c r="K99" i="5" s="1"/>
  <c r="N99" i="5" s="1"/>
  <c r="Q99" i="5" s="1"/>
  <c r="T99" i="5" s="1"/>
  <c r="U99" i="5"/>
  <c r="V99" i="5"/>
  <c r="W99" i="5"/>
  <c r="X99" i="5"/>
  <c r="Y99" i="5"/>
  <c r="Z99" i="5"/>
  <c r="AA99" i="5"/>
  <c r="B100" i="5"/>
  <c r="C100" i="5"/>
  <c r="F100" i="5" s="1"/>
  <c r="I100" i="5" s="1"/>
  <c r="L100" i="5" s="1"/>
  <c r="O100" i="5" s="1"/>
  <c r="R100" i="5" s="1"/>
  <c r="D100" i="5"/>
  <c r="G100" i="5" s="1"/>
  <c r="J100" i="5" s="1"/>
  <c r="M100" i="5" s="1"/>
  <c r="P100" i="5" s="1"/>
  <c r="S100" i="5" s="1"/>
  <c r="E100" i="5"/>
  <c r="H100" i="5" s="1"/>
  <c r="K100" i="5" s="1"/>
  <c r="N100" i="5" s="1"/>
  <c r="Q100" i="5" s="1"/>
  <c r="T100" i="5" s="1"/>
  <c r="U100" i="5"/>
  <c r="V100" i="5"/>
  <c r="W100" i="5"/>
  <c r="X100" i="5"/>
  <c r="Y100" i="5"/>
  <c r="Z100" i="5"/>
  <c r="AA100" i="5"/>
  <c r="B101" i="5"/>
  <c r="C101" i="5"/>
  <c r="F101" i="5" s="1"/>
  <c r="I101" i="5" s="1"/>
  <c r="L101" i="5" s="1"/>
  <c r="O101" i="5" s="1"/>
  <c r="R101" i="5" s="1"/>
  <c r="D101" i="5"/>
  <c r="G101" i="5" s="1"/>
  <c r="J101" i="5" s="1"/>
  <c r="M101" i="5" s="1"/>
  <c r="P101" i="5" s="1"/>
  <c r="S101" i="5" s="1"/>
  <c r="E101" i="5"/>
  <c r="H101" i="5" s="1"/>
  <c r="K101" i="5" s="1"/>
  <c r="N101" i="5" s="1"/>
  <c r="Q101" i="5" s="1"/>
  <c r="T101" i="5" s="1"/>
  <c r="U101" i="5"/>
  <c r="V101" i="5"/>
  <c r="W101" i="5"/>
  <c r="X101" i="5"/>
  <c r="Y101" i="5"/>
  <c r="Z101" i="5"/>
  <c r="AA101" i="5"/>
  <c r="B102" i="5"/>
  <c r="C102" i="5"/>
  <c r="F102" i="5" s="1"/>
  <c r="I102" i="5" s="1"/>
  <c r="L102" i="5" s="1"/>
  <c r="O102" i="5" s="1"/>
  <c r="R102" i="5" s="1"/>
  <c r="D102" i="5"/>
  <c r="G102" i="5" s="1"/>
  <c r="J102" i="5" s="1"/>
  <c r="M102" i="5" s="1"/>
  <c r="P102" i="5" s="1"/>
  <c r="S102" i="5" s="1"/>
  <c r="E102" i="5"/>
  <c r="H102" i="5" s="1"/>
  <c r="K102" i="5" s="1"/>
  <c r="N102" i="5" s="1"/>
  <c r="Q102" i="5" s="1"/>
  <c r="T102" i="5" s="1"/>
  <c r="U102" i="5"/>
  <c r="V102" i="5"/>
  <c r="W102" i="5"/>
  <c r="X102" i="5"/>
  <c r="Y102" i="5"/>
  <c r="Z102" i="5"/>
  <c r="AA102" i="5"/>
  <c r="B103" i="5"/>
  <c r="C103" i="5"/>
  <c r="F103" i="5" s="1"/>
  <c r="I103" i="5" s="1"/>
  <c r="L103" i="5" s="1"/>
  <c r="O103" i="5" s="1"/>
  <c r="R103" i="5" s="1"/>
  <c r="D103" i="5"/>
  <c r="G103" i="5" s="1"/>
  <c r="J103" i="5" s="1"/>
  <c r="M103" i="5" s="1"/>
  <c r="P103" i="5" s="1"/>
  <c r="S103" i="5" s="1"/>
  <c r="E103" i="5"/>
  <c r="H103" i="5" s="1"/>
  <c r="K103" i="5" s="1"/>
  <c r="N103" i="5" s="1"/>
  <c r="Q103" i="5" s="1"/>
  <c r="T103" i="5" s="1"/>
  <c r="U103" i="5"/>
  <c r="V103" i="5"/>
  <c r="W103" i="5"/>
  <c r="X103" i="5"/>
  <c r="Y103" i="5"/>
  <c r="Z103" i="5"/>
  <c r="AA103" i="5"/>
  <c r="B104" i="5"/>
  <c r="C104" i="5"/>
  <c r="F104" i="5" s="1"/>
  <c r="I104" i="5" s="1"/>
  <c r="L104" i="5" s="1"/>
  <c r="O104" i="5" s="1"/>
  <c r="R104" i="5" s="1"/>
  <c r="D104" i="5"/>
  <c r="G104" i="5" s="1"/>
  <c r="J104" i="5" s="1"/>
  <c r="M104" i="5" s="1"/>
  <c r="P104" i="5" s="1"/>
  <c r="S104" i="5" s="1"/>
  <c r="E104" i="5"/>
  <c r="H104" i="5" s="1"/>
  <c r="K104" i="5" s="1"/>
  <c r="N104" i="5" s="1"/>
  <c r="Q104" i="5" s="1"/>
  <c r="T104" i="5" s="1"/>
  <c r="U104" i="5"/>
  <c r="V104" i="5"/>
  <c r="W104" i="5"/>
  <c r="X104" i="5"/>
  <c r="Y104" i="5"/>
  <c r="Z104" i="5"/>
  <c r="AA104" i="5"/>
  <c r="B105" i="5"/>
  <c r="C105" i="5"/>
  <c r="F105" i="5" s="1"/>
  <c r="I105" i="5" s="1"/>
  <c r="L105" i="5" s="1"/>
  <c r="O105" i="5" s="1"/>
  <c r="R105" i="5" s="1"/>
  <c r="D105" i="5"/>
  <c r="G105" i="5" s="1"/>
  <c r="J105" i="5" s="1"/>
  <c r="M105" i="5" s="1"/>
  <c r="P105" i="5" s="1"/>
  <c r="S105" i="5" s="1"/>
  <c r="E105" i="5"/>
  <c r="H105" i="5" s="1"/>
  <c r="K105" i="5" s="1"/>
  <c r="N105" i="5" s="1"/>
  <c r="Q105" i="5" s="1"/>
  <c r="T105" i="5" s="1"/>
  <c r="U105" i="5"/>
  <c r="V105" i="5"/>
  <c r="W105" i="5"/>
  <c r="X105" i="5"/>
  <c r="Y105" i="5"/>
  <c r="Z105" i="5"/>
  <c r="AA105" i="5"/>
  <c r="B106" i="5"/>
  <c r="C106" i="5"/>
  <c r="F106" i="5" s="1"/>
  <c r="I106" i="5" s="1"/>
  <c r="L106" i="5" s="1"/>
  <c r="O106" i="5" s="1"/>
  <c r="R106" i="5" s="1"/>
  <c r="D106" i="5"/>
  <c r="G106" i="5" s="1"/>
  <c r="J106" i="5" s="1"/>
  <c r="M106" i="5" s="1"/>
  <c r="P106" i="5" s="1"/>
  <c r="S106" i="5" s="1"/>
  <c r="E106" i="5"/>
  <c r="H106" i="5" s="1"/>
  <c r="K106" i="5" s="1"/>
  <c r="N106" i="5" s="1"/>
  <c r="Q106" i="5" s="1"/>
  <c r="T106" i="5" s="1"/>
  <c r="U106" i="5"/>
  <c r="V106" i="5"/>
  <c r="W106" i="5"/>
  <c r="X106" i="5"/>
  <c r="Y106" i="5"/>
  <c r="Z106" i="5"/>
  <c r="AA106" i="5"/>
  <c r="B107" i="5"/>
  <c r="C107" i="5"/>
  <c r="F107" i="5" s="1"/>
  <c r="I107" i="5" s="1"/>
  <c r="L107" i="5" s="1"/>
  <c r="O107" i="5" s="1"/>
  <c r="R107" i="5" s="1"/>
  <c r="D107" i="5"/>
  <c r="G107" i="5" s="1"/>
  <c r="J107" i="5" s="1"/>
  <c r="M107" i="5" s="1"/>
  <c r="P107" i="5" s="1"/>
  <c r="S107" i="5" s="1"/>
  <c r="E107" i="5"/>
  <c r="H107" i="5" s="1"/>
  <c r="K107" i="5" s="1"/>
  <c r="N107" i="5" s="1"/>
  <c r="Q107" i="5" s="1"/>
  <c r="T107" i="5" s="1"/>
  <c r="U107" i="5"/>
  <c r="V107" i="5"/>
  <c r="W107" i="5"/>
  <c r="X107" i="5"/>
  <c r="Y107" i="5"/>
  <c r="Z107" i="5"/>
  <c r="AA107" i="5"/>
  <c r="B108" i="5"/>
  <c r="C108" i="5"/>
  <c r="F108" i="5" s="1"/>
  <c r="I108" i="5" s="1"/>
  <c r="L108" i="5" s="1"/>
  <c r="O108" i="5" s="1"/>
  <c r="R108" i="5" s="1"/>
  <c r="D108" i="5"/>
  <c r="G108" i="5" s="1"/>
  <c r="J108" i="5" s="1"/>
  <c r="M108" i="5" s="1"/>
  <c r="P108" i="5" s="1"/>
  <c r="S108" i="5" s="1"/>
  <c r="E108" i="5"/>
  <c r="H108" i="5" s="1"/>
  <c r="K108" i="5" s="1"/>
  <c r="N108" i="5" s="1"/>
  <c r="Q108" i="5" s="1"/>
  <c r="T108" i="5" s="1"/>
  <c r="U108" i="5"/>
  <c r="V108" i="5"/>
  <c r="W108" i="5"/>
  <c r="X108" i="5"/>
  <c r="Y108" i="5"/>
  <c r="Z108" i="5"/>
  <c r="AA108" i="5"/>
  <c r="B109" i="5"/>
  <c r="C109" i="5"/>
  <c r="F109" i="5" s="1"/>
  <c r="I109" i="5" s="1"/>
  <c r="L109" i="5" s="1"/>
  <c r="O109" i="5" s="1"/>
  <c r="R109" i="5" s="1"/>
  <c r="D109" i="5"/>
  <c r="G109" i="5" s="1"/>
  <c r="J109" i="5" s="1"/>
  <c r="M109" i="5" s="1"/>
  <c r="P109" i="5" s="1"/>
  <c r="S109" i="5" s="1"/>
  <c r="E109" i="5"/>
  <c r="H109" i="5" s="1"/>
  <c r="K109" i="5" s="1"/>
  <c r="N109" i="5" s="1"/>
  <c r="Q109" i="5" s="1"/>
  <c r="T109" i="5" s="1"/>
  <c r="U109" i="5"/>
  <c r="V109" i="5"/>
  <c r="W109" i="5"/>
  <c r="X109" i="5"/>
  <c r="Y109" i="5"/>
  <c r="Z109" i="5"/>
  <c r="AA109" i="5"/>
  <c r="B110" i="5"/>
  <c r="C110" i="5"/>
  <c r="F110" i="5" s="1"/>
  <c r="I110" i="5" s="1"/>
  <c r="L110" i="5" s="1"/>
  <c r="O110" i="5" s="1"/>
  <c r="R110" i="5" s="1"/>
  <c r="D110" i="5"/>
  <c r="G110" i="5" s="1"/>
  <c r="J110" i="5" s="1"/>
  <c r="M110" i="5" s="1"/>
  <c r="P110" i="5" s="1"/>
  <c r="S110" i="5" s="1"/>
  <c r="E110" i="5"/>
  <c r="H110" i="5" s="1"/>
  <c r="K110" i="5" s="1"/>
  <c r="N110" i="5" s="1"/>
  <c r="Q110" i="5" s="1"/>
  <c r="T110" i="5" s="1"/>
  <c r="U110" i="5"/>
  <c r="V110" i="5"/>
  <c r="W110" i="5"/>
  <c r="X110" i="5"/>
  <c r="Y110" i="5"/>
  <c r="Z110" i="5"/>
  <c r="AA110" i="5"/>
  <c r="B111" i="5"/>
  <c r="C111" i="5"/>
  <c r="F111" i="5" s="1"/>
  <c r="I111" i="5" s="1"/>
  <c r="L111" i="5" s="1"/>
  <c r="O111" i="5" s="1"/>
  <c r="R111" i="5" s="1"/>
  <c r="D111" i="5"/>
  <c r="G111" i="5" s="1"/>
  <c r="J111" i="5" s="1"/>
  <c r="M111" i="5" s="1"/>
  <c r="P111" i="5" s="1"/>
  <c r="S111" i="5" s="1"/>
  <c r="E111" i="5"/>
  <c r="H111" i="5" s="1"/>
  <c r="K111" i="5" s="1"/>
  <c r="N111" i="5" s="1"/>
  <c r="Q111" i="5" s="1"/>
  <c r="T111" i="5" s="1"/>
  <c r="U111" i="5"/>
  <c r="V111" i="5"/>
  <c r="W111" i="5"/>
  <c r="X111" i="5"/>
  <c r="Y111" i="5"/>
  <c r="Z111" i="5"/>
  <c r="AA111" i="5"/>
  <c r="B112" i="5"/>
  <c r="C112" i="5"/>
  <c r="F112" i="5" s="1"/>
  <c r="I112" i="5" s="1"/>
  <c r="L112" i="5" s="1"/>
  <c r="O112" i="5" s="1"/>
  <c r="R112" i="5" s="1"/>
  <c r="D112" i="5"/>
  <c r="G112" i="5" s="1"/>
  <c r="J112" i="5" s="1"/>
  <c r="M112" i="5" s="1"/>
  <c r="P112" i="5" s="1"/>
  <c r="S112" i="5" s="1"/>
  <c r="E112" i="5"/>
  <c r="H112" i="5" s="1"/>
  <c r="K112" i="5" s="1"/>
  <c r="N112" i="5" s="1"/>
  <c r="Q112" i="5" s="1"/>
  <c r="T112" i="5" s="1"/>
  <c r="U112" i="5"/>
  <c r="V112" i="5"/>
  <c r="W112" i="5"/>
  <c r="X112" i="5"/>
  <c r="Y112" i="5"/>
  <c r="Z112" i="5"/>
  <c r="AA112" i="5"/>
  <c r="B113" i="5"/>
  <c r="C113" i="5"/>
  <c r="F113" i="5" s="1"/>
  <c r="I113" i="5" s="1"/>
  <c r="L113" i="5" s="1"/>
  <c r="O113" i="5" s="1"/>
  <c r="R113" i="5" s="1"/>
  <c r="D113" i="5"/>
  <c r="G113" i="5" s="1"/>
  <c r="J113" i="5" s="1"/>
  <c r="M113" i="5" s="1"/>
  <c r="P113" i="5" s="1"/>
  <c r="S113" i="5" s="1"/>
  <c r="E113" i="5"/>
  <c r="H113" i="5" s="1"/>
  <c r="K113" i="5" s="1"/>
  <c r="N113" i="5" s="1"/>
  <c r="Q113" i="5" s="1"/>
  <c r="T113" i="5" s="1"/>
  <c r="U113" i="5"/>
  <c r="V113" i="5"/>
  <c r="W113" i="5"/>
  <c r="X113" i="5"/>
  <c r="Y113" i="5"/>
  <c r="Z113" i="5"/>
  <c r="AA113" i="5"/>
  <c r="B114" i="5"/>
  <c r="C114" i="5"/>
  <c r="F114" i="5" s="1"/>
  <c r="I114" i="5" s="1"/>
  <c r="L114" i="5" s="1"/>
  <c r="O114" i="5" s="1"/>
  <c r="R114" i="5" s="1"/>
  <c r="D114" i="5"/>
  <c r="G114" i="5" s="1"/>
  <c r="J114" i="5" s="1"/>
  <c r="M114" i="5" s="1"/>
  <c r="P114" i="5" s="1"/>
  <c r="S114" i="5" s="1"/>
  <c r="E114" i="5"/>
  <c r="H114" i="5" s="1"/>
  <c r="K114" i="5" s="1"/>
  <c r="N114" i="5" s="1"/>
  <c r="Q114" i="5" s="1"/>
  <c r="T114" i="5" s="1"/>
  <c r="U114" i="5"/>
  <c r="V114" i="5"/>
  <c r="W114" i="5"/>
  <c r="X114" i="5"/>
  <c r="Y114" i="5"/>
  <c r="Z114" i="5"/>
  <c r="AA114" i="5"/>
  <c r="B115" i="5"/>
  <c r="C115" i="5"/>
  <c r="F115" i="5" s="1"/>
  <c r="I115" i="5" s="1"/>
  <c r="L115" i="5" s="1"/>
  <c r="O115" i="5" s="1"/>
  <c r="R115" i="5" s="1"/>
  <c r="D115" i="5"/>
  <c r="G115" i="5" s="1"/>
  <c r="J115" i="5" s="1"/>
  <c r="M115" i="5" s="1"/>
  <c r="P115" i="5" s="1"/>
  <c r="S115" i="5" s="1"/>
  <c r="E115" i="5"/>
  <c r="H115" i="5" s="1"/>
  <c r="K115" i="5" s="1"/>
  <c r="N115" i="5" s="1"/>
  <c r="Q115" i="5" s="1"/>
  <c r="T115" i="5" s="1"/>
  <c r="U115" i="5"/>
  <c r="V115" i="5"/>
  <c r="W115" i="5"/>
  <c r="X115" i="5"/>
  <c r="Y115" i="5"/>
  <c r="Z115" i="5"/>
  <c r="AA115" i="5"/>
  <c r="B116" i="5"/>
  <c r="C116" i="5"/>
  <c r="F116" i="5" s="1"/>
  <c r="I116" i="5" s="1"/>
  <c r="L116" i="5" s="1"/>
  <c r="O116" i="5" s="1"/>
  <c r="R116" i="5" s="1"/>
  <c r="D116" i="5"/>
  <c r="G116" i="5" s="1"/>
  <c r="J116" i="5" s="1"/>
  <c r="M116" i="5" s="1"/>
  <c r="P116" i="5" s="1"/>
  <c r="S116" i="5" s="1"/>
  <c r="E116" i="5"/>
  <c r="H116" i="5" s="1"/>
  <c r="K116" i="5" s="1"/>
  <c r="N116" i="5" s="1"/>
  <c r="Q116" i="5" s="1"/>
  <c r="T116" i="5" s="1"/>
  <c r="U116" i="5"/>
  <c r="V116" i="5"/>
  <c r="W116" i="5"/>
  <c r="X116" i="5"/>
  <c r="Y116" i="5"/>
  <c r="Z116" i="5"/>
  <c r="AA116" i="5"/>
  <c r="B117" i="5"/>
  <c r="C117" i="5"/>
  <c r="F117" i="5" s="1"/>
  <c r="I117" i="5" s="1"/>
  <c r="L117" i="5" s="1"/>
  <c r="O117" i="5" s="1"/>
  <c r="R117" i="5" s="1"/>
  <c r="D117" i="5"/>
  <c r="G117" i="5" s="1"/>
  <c r="J117" i="5" s="1"/>
  <c r="M117" i="5" s="1"/>
  <c r="P117" i="5" s="1"/>
  <c r="S117" i="5" s="1"/>
  <c r="E117" i="5"/>
  <c r="H117" i="5" s="1"/>
  <c r="K117" i="5" s="1"/>
  <c r="N117" i="5" s="1"/>
  <c r="Q117" i="5" s="1"/>
  <c r="T117" i="5" s="1"/>
  <c r="U117" i="5"/>
  <c r="V117" i="5"/>
  <c r="W117" i="5"/>
  <c r="X117" i="5"/>
  <c r="Y117" i="5"/>
  <c r="Z117" i="5"/>
  <c r="AA117" i="5"/>
  <c r="B118" i="5"/>
  <c r="C118" i="5"/>
  <c r="F118" i="5" s="1"/>
  <c r="I118" i="5" s="1"/>
  <c r="L118" i="5" s="1"/>
  <c r="O118" i="5" s="1"/>
  <c r="R118" i="5" s="1"/>
  <c r="D118" i="5"/>
  <c r="G118" i="5" s="1"/>
  <c r="J118" i="5" s="1"/>
  <c r="M118" i="5" s="1"/>
  <c r="P118" i="5" s="1"/>
  <c r="S118" i="5" s="1"/>
  <c r="E118" i="5"/>
  <c r="H118" i="5" s="1"/>
  <c r="K118" i="5" s="1"/>
  <c r="N118" i="5" s="1"/>
  <c r="Q118" i="5" s="1"/>
  <c r="T118" i="5" s="1"/>
  <c r="U118" i="5"/>
  <c r="V118" i="5"/>
  <c r="W118" i="5"/>
  <c r="X118" i="5"/>
  <c r="Y118" i="5"/>
  <c r="Z118" i="5"/>
  <c r="AA118" i="5"/>
  <c r="B119" i="5"/>
  <c r="C119" i="5"/>
  <c r="F119" i="5" s="1"/>
  <c r="I119" i="5" s="1"/>
  <c r="L119" i="5" s="1"/>
  <c r="O119" i="5" s="1"/>
  <c r="R119" i="5" s="1"/>
  <c r="D119" i="5"/>
  <c r="E119" i="5"/>
  <c r="H119" i="5" s="1"/>
  <c r="K119" i="5" s="1"/>
  <c r="N119" i="5" s="1"/>
  <c r="Q119" i="5" s="1"/>
  <c r="T119" i="5" s="1"/>
  <c r="G119" i="5"/>
  <c r="J119" i="5" s="1"/>
  <c r="M119" i="5" s="1"/>
  <c r="P119" i="5" s="1"/>
  <c r="S119" i="5" s="1"/>
  <c r="U119" i="5"/>
  <c r="V119" i="5"/>
  <c r="W119" i="5"/>
  <c r="X119" i="5"/>
  <c r="Y119" i="5"/>
  <c r="Z119" i="5"/>
  <c r="AA119" i="5"/>
  <c r="B120" i="5"/>
  <c r="C120" i="5"/>
  <c r="F120" i="5" s="1"/>
  <c r="I120" i="5" s="1"/>
  <c r="L120" i="5" s="1"/>
  <c r="O120" i="5" s="1"/>
  <c r="R120" i="5" s="1"/>
  <c r="D120" i="5"/>
  <c r="G120" i="5" s="1"/>
  <c r="J120" i="5" s="1"/>
  <c r="M120" i="5" s="1"/>
  <c r="P120" i="5" s="1"/>
  <c r="S120" i="5" s="1"/>
  <c r="E120" i="5"/>
  <c r="H120" i="5" s="1"/>
  <c r="K120" i="5" s="1"/>
  <c r="N120" i="5" s="1"/>
  <c r="Q120" i="5" s="1"/>
  <c r="T120" i="5" s="1"/>
  <c r="U120" i="5"/>
  <c r="V120" i="5"/>
  <c r="W120" i="5"/>
  <c r="X120" i="5"/>
  <c r="Y120" i="5"/>
  <c r="Z120" i="5"/>
  <c r="AA120" i="5"/>
  <c r="B121" i="5"/>
  <c r="C121" i="5"/>
  <c r="F121" i="5" s="1"/>
  <c r="I121" i="5" s="1"/>
  <c r="L121" i="5" s="1"/>
  <c r="O121" i="5" s="1"/>
  <c r="R121" i="5" s="1"/>
  <c r="D121" i="5"/>
  <c r="G121" i="5" s="1"/>
  <c r="J121" i="5" s="1"/>
  <c r="M121" i="5" s="1"/>
  <c r="P121" i="5" s="1"/>
  <c r="S121" i="5" s="1"/>
  <c r="E121" i="5"/>
  <c r="H121" i="5" s="1"/>
  <c r="K121" i="5" s="1"/>
  <c r="N121" i="5" s="1"/>
  <c r="Q121" i="5" s="1"/>
  <c r="T121" i="5" s="1"/>
  <c r="U121" i="5"/>
  <c r="V121" i="5"/>
  <c r="W121" i="5"/>
  <c r="X121" i="5"/>
  <c r="Y121" i="5"/>
  <c r="Z121" i="5"/>
  <c r="AA121" i="5"/>
  <c r="B122" i="5"/>
  <c r="C122" i="5"/>
  <c r="F122" i="5" s="1"/>
  <c r="I122" i="5" s="1"/>
  <c r="L122" i="5" s="1"/>
  <c r="O122" i="5" s="1"/>
  <c r="R122" i="5" s="1"/>
  <c r="D122" i="5"/>
  <c r="G122" i="5" s="1"/>
  <c r="J122" i="5" s="1"/>
  <c r="M122" i="5" s="1"/>
  <c r="P122" i="5" s="1"/>
  <c r="S122" i="5" s="1"/>
  <c r="E122" i="5"/>
  <c r="H122" i="5" s="1"/>
  <c r="K122" i="5" s="1"/>
  <c r="N122" i="5" s="1"/>
  <c r="Q122" i="5" s="1"/>
  <c r="T122" i="5" s="1"/>
  <c r="U122" i="5"/>
  <c r="V122" i="5"/>
  <c r="W122" i="5"/>
  <c r="X122" i="5"/>
  <c r="Y122" i="5"/>
  <c r="Z122" i="5"/>
  <c r="AA122" i="5"/>
  <c r="B123" i="5"/>
  <c r="C123" i="5"/>
  <c r="F123" i="5" s="1"/>
  <c r="I123" i="5" s="1"/>
  <c r="L123" i="5" s="1"/>
  <c r="O123" i="5" s="1"/>
  <c r="R123" i="5" s="1"/>
  <c r="D123" i="5"/>
  <c r="G123" i="5" s="1"/>
  <c r="J123" i="5" s="1"/>
  <c r="M123" i="5" s="1"/>
  <c r="P123" i="5" s="1"/>
  <c r="S123" i="5" s="1"/>
  <c r="E123" i="5"/>
  <c r="H123" i="5" s="1"/>
  <c r="K123" i="5" s="1"/>
  <c r="N123" i="5" s="1"/>
  <c r="Q123" i="5" s="1"/>
  <c r="T123" i="5" s="1"/>
  <c r="U123" i="5"/>
  <c r="V123" i="5"/>
  <c r="W123" i="5"/>
  <c r="X123" i="5"/>
  <c r="Y123" i="5"/>
  <c r="Z123" i="5"/>
  <c r="AA123" i="5"/>
  <c r="B124" i="5"/>
  <c r="C124" i="5"/>
  <c r="F124" i="5" s="1"/>
  <c r="I124" i="5" s="1"/>
  <c r="L124" i="5" s="1"/>
  <c r="O124" i="5" s="1"/>
  <c r="R124" i="5" s="1"/>
  <c r="D124" i="5"/>
  <c r="G124" i="5" s="1"/>
  <c r="J124" i="5" s="1"/>
  <c r="M124" i="5" s="1"/>
  <c r="P124" i="5" s="1"/>
  <c r="S124" i="5" s="1"/>
  <c r="E124" i="5"/>
  <c r="H124" i="5" s="1"/>
  <c r="K124" i="5" s="1"/>
  <c r="N124" i="5" s="1"/>
  <c r="Q124" i="5" s="1"/>
  <c r="T124" i="5" s="1"/>
  <c r="U124" i="5"/>
  <c r="V124" i="5"/>
  <c r="W124" i="5"/>
  <c r="X124" i="5"/>
  <c r="Y124" i="5"/>
  <c r="Z124" i="5"/>
  <c r="AA124" i="5"/>
  <c r="B125" i="5"/>
  <c r="C125" i="5"/>
  <c r="F125" i="5" s="1"/>
  <c r="I125" i="5" s="1"/>
  <c r="L125" i="5" s="1"/>
  <c r="O125" i="5" s="1"/>
  <c r="R125" i="5" s="1"/>
  <c r="D125" i="5"/>
  <c r="G125" i="5" s="1"/>
  <c r="J125" i="5" s="1"/>
  <c r="M125" i="5" s="1"/>
  <c r="P125" i="5" s="1"/>
  <c r="S125" i="5" s="1"/>
  <c r="E125" i="5"/>
  <c r="H125" i="5" s="1"/>
  <c r="K125" i="5" s="1"/>
  <c r="N125" i="5" s="1"/>
  <c r="Q125" i="5" s="1"/>
  <c r="T125" i="5" s="1"/>
  <c r="U125" i="5"/>
  <c r="V125" i="5"/>
  <c r="W125" i="5"/>
  <c r="X125" i="5"/>
  <c r="Y125" i="5"/>
  <c r="Z125" i="5"/>
  <c r="AA125" i="5"/>
  <c r="B126" i="5"/>
  <c r="C126" i="5"/>
  <c r="F126" i="5" s="1"/>
  <c r="I126" i="5" s="1"/>
  <c r="L126" i="5" s="1"/>
  <c r="O126" i="5" s="1"/>
  <c r="R126" i="5" s="1"/>
  <c r="D126" i="5"/>
  <c r="G126" i="5" s="1"/>
  <c r="J126" i="5" s="1"/>
  <c r="M126" i="5" s="1"/>
  <c r="P126" i="5" s="1"/>
  <c r="S126" i="5" s="1"/>
  <c r="E126" i="5"/>
  <c r="H126" i="5" s="1"/>
  <c r="K126" i="5" s="1"/>
  <c r="N126" i="5" s="1"/>
  <c r="Q126" i="5" s="1"/>
  <c r="T126" i="5" s="1"/>
  <c r="U126" i="5"/>
  <c r="V126" i="5"/>
  <c r="W126" i="5"/>
  <c r="X126" i="5"/>
  <c r="Y126" i="5"/>
  <c r="Z126" i="5"/>
  <c r="AA126" i="5"/>
  <c r="AA79" i="5"/>
  <c r="B79" i="5"/>
  <c r="C79" i="5"/>
  <c r="F79" i="5" s="1"/>
  <c r="I79" i="5" s="1"/>
  <c r="L79" i="5" s="1"/>
  <c r="O79" i="5" s="1"/>
  <c r="R79" i="5" s="1"/>
  <c r="D79" i="5"/>
  <c r="G79" i="5" s="1"/>
  <c r="J79" i="5" s="1"/>
  <c r="M79" i="5" s="1"/>
  <c r="P79" i="5" s="1"/>
  <c r="S79" i="5" s="1"/>
  <c r="E79" i="5"/>
  <c r="H79" i="5" s="1"/>
  <c r="K79" i="5" s="1"/>
  <c r="U79" i="5"/>
  <c r="V79" i="5"/>
  <c r="W79" i="5"/>
  <c r="X79" i="5"/>
  <c r="Y79" i="5"/>
  <c r="Z79" i="5"/>
  <c r="AA78" i="5"/>
  <c r="X78" i="5"/>
  <c r="Y78" i="5"/>
  <c r="Z78" i="5"/>
  <c r="V78" i="5"/>
  <c r="W78" i="5"/>
  <c r="U78" i="5"/>
  <c r="C78" i="5"/>
  <c r="F78" i="5" s="1"/>
  <c r="I78" i="5" s="1"/>
  <c r="L78" i="5" s="1"/>
  <c r="O78" i="5" s="1"/>
  <c r="R78" i="5" s="1"/>
  <c r="D78" i="5"/>
  <c r="G78" i="5" s="1"/>
  <c r="J78" i="5" s="1"/>
  <c r="M78" i="5" s="1"/>
  <c r="P78" i="5" s="1"/>
  <c r="S78" i="5" s="1"/>
  <c r="E78" i="5"/>
  <c r="H78" i="5" s="1"/>
  <c r="K78" i="5" s="1"/>
  <c r="N78" i="5" s="1"/>
  <c r="Q78" i="5" s="1"/>
  <c r="T78" i="5" s="1"/>
  <c r="B78" i="5"/>
  <c r="G88" i="19"/>
  <c r="C78" i="19"/>
  <c r="E206" i="19"/>
  <c r="H44" i="19"/>
  <c r="H45" i="19"/>
  <c r="H47" i="19"/>
  <c r="H48" i="19"/>
  <c r="H49" i="19"/>
  <c r="H50" i="19"/>
  <c r="H51" i="19"/>
  <c r="H52" i="19"/>
  <c r="H53" i="19"/>
  <c r="H60" i="19"/>
  <c r="H61" i="19"/>
  <c r="H63" i="19"/>
  <c r="H64" i="19"/>
  <c r="H66" i="19"/>
  <c r="H67" i="19"/>
  <c r="H68" i="19"/>
  <c r="H69" i="19"/>
  <c r="G44" i="19"/>
  <c r="G45" i="19"/>
  <c r="G47" i="19"/>
  <c r="G48" i="19"/>
  <c r="G49" i="19"/>
  <c r="G50" i="19"/>
  <c r="G51" i="19"/>
  <c r="G52" i="19"/>
  <c r="G53" i="19"/>
  <c r="G63" i="19"/>
  <c r="G64" i="19"/>
  <c r="G66" i="19"/>
  <c r="G67" i="19"/>
  <c r="G68" i="19"/>
  <c r="G69" i="19"/>
  <c r="G70" i="19"/>
  <c r="A1" i="13"/>
  <c r="C1" i="13"/>
  <c r="A2" i="13"/>
  <c r="C2" i="13"/>
  <c r="A3" i="13"/>
  <c r="C3" i="13"/>
  <c r="A1" i="12"/>
  <c r="C1" i="12"/>
  <c r="D1" i="12"/>
  <c r="E1" i="12"/>
  <c r="F1" i="12"/>
  <c r="A2" i="12"/>
  <c r="C2" i="12"/>
  <c r="A3" i="12"/>
  <c r="C3" i="12"/>
  <c r="A1" i="11"/>
  <c r="E44" i="19"/>
  <c r="L44" i="19" s="1"/>
  <c r="E45" i="19"/>
  <c r="K45" i="19" s="1"/>
  <c r="B4" i="19" s="1"/>
  <c r="E46" i="19"/>
  <c r="E47" i="19"/>
  <c r="E48" i="19"/>
  <c r="I48" i="19" s="1"/>
  <c r="E49" i="19"/>
  <c r="K49" i="19" s="1"/>
  <c r="B8" i="19" s="1"/>
  <c r="E50" i="19"/>
  <c r="J50" i="19" s="1"/>
  <c r="E51" i="19"/>
  <c r="L51" i="19" s="1"/>
  <c r="E52" i="19"/>
  <c r="E53" i="19"/>
  <c r="I53" i="19" s="1"/>
  <c r="E54" i="19"/>
  <c r="I54" i="19" s="1"/>
  <c r="E55" i="19"/>
  <c r="G55" i="19" s="1"/>
  <c r="E56" i="19"/>
  <c r="L56" i="19" s="1"/>
  <c r="E57" i="19"/>
  <c r="L57" i="19" s="1"/>
  <c r="E58" i="19"/>
  <c r="G58" i="19" s="1"/>
  <c r="E59" i="19"/>
  <c r="L59" i="19" s="1"/>
  <c r="E60" i="19"/>
  <c r="I60" i="19" s="1"/>
  <c r="E61" i="19"/>
  <c r="I61" i="19" s="1"/>
  <c r="E62" i="19"/>
  <c r="I62" i="19" s="1"/>
  <c r="E63" i="19"/>
  <c r="I63" i="19" s="1"/>
  <c r="E64" i="19"/>
  <c r="E65" i="19"/>
  <c r="L65" i="19" s="1"/>
  <c r="E66" i="19"/>
  <c r="E67" i="19"/>
  <c r="L67" i="19" s="1"/>
  <c r="E68" i="19"/>
  <c r="L68" i="19" s="1"/>
  <c r="E69" i="19"/>
  <c r="I69" i="19" s="1"/>
  <c r="E70" i="19"/>
  <c r="H70" i="19" s="1"/>
  <c r="E71" i="19"/>
  <c r="G71" i="19" s="1"/>
  <c r="E72" i="19"/>
  <c r="L72" i="19" s="1"/>
  <c r="E74" i="19"/>
  <c r="G74" i="19" s="1"/>
  <c r="E75" i="19"/>
  <c r="G75" i="19" s="1"/>
  <c r="E73" i="19"/>
  <c r="H73" i="19" s="1"/>
  <c r="I44" i="19"/>
  <c r="E214" i="19" s="1"/>
  <c r="J44" i="19"/>
  <c r="L50" i="19"/>
  <c r="I51" i="19"/>
  <c r="D78" i="19"/>
  <c r="L78" i="19"/>
  <c r="D205" i="19" s="1"/>
  <c r="J78" i="19"/>
  <c r="D208" i="19" s="1"/>
  <c r="G78" i="19"/>
  <c r="I153" i="19" s="1"/>
  <c r="C2" i="15"/>
  <c r="E220" i="19"/>
  <c r="H195" i="19"/>
  <c r="J99" i="19"/>
  <c r="E35" i="19"/>
  <c r="G35" i="19" s="1"/>
  <c r="B35" i="19"/>
  <c r="I106" i="1"/>
  <c r="B6" i="1"/>
  <c r="C6" i="1"/>
  <c r="D6" i="1" s="1"/>
  <c r="E6" i="1"/>
  <c r="G6" i="1" s="1"/>
  <c r="I46" i="1"/>
  <c r="J46" i="1"/>
  <c r="K46" i="1"/>
  <c r="L46" i="1"/>
  <c r="M46" i="1"/>
  <c r="A1" i="18"/>
  <c r="B1" i="18"/>
  <c r="C1" i="18"/>
  <c r="D1" i="18"/>
  <c r="E1" i="18"/>
  <c r="F1" i="18"/>
  <c r="A2" i="18"/>
  <c r="C2" i="18"/>
  <c r="A3" i="18"/>
  <c r="C3" i="18"/>
  <c r="A1" i="17"/>
  <c r="B1" i="17"/>
  <c r="C1" i="17"/>
  <c r="D1" i="17"/>
  <c r="E1" i="17"/>
  <c r="F1" i="17"/>
  <c r="A2" i="17"/>
  <c r="C2" i="17"/>
  <c r="A3" i="17"/>
  <c r="C3" i="17"/>
  <c r="A1" i="16"/>
  <c r="B1" i="16"/>
  <c r="C1" i="16"/>
  <c r="D1" i="16"/>
  <c r="E1" i="16"/>
  <c r="F1" i="16"/>
  <c r="A2" i="16"/>
  <c r="C2" i="16"/>
  <c r="A3" i="16"/>
  <c r="C3" i="16"/>
  <c r="A1" i="15"/>
  <c r="B1" i="15"/>
  <c r="C1" i="15"/>
  <c r="D1" i="15"/>
  <c r="E1" i="15"/>
  <c r="F1" i="15"/>
  <c r="A2" i="15"/>
  <c r="A3" i="15"/>
  <c r="C3" i="15"/>
  <c r="D1" i="13"/>
  <c r="E1" i="13"/>
  <c r="F1" i="13"/>
  <c r="C1" i="11"/>
  <c r="D1" i="11"/>
  <c r="E1" i="11"/>
  <c r="F1" i="11"/>
  <c r="A2" i="11"/>
  <c r="C2" i="11"/>
  <c r="A3" i="11"/>
  <c r="C3" i="11"/>
  <c r="I65" i="1"/>
  <c r="I64" i="1"/>
  <c r="L44" i="1"/>
  <c r="M45" i="1"/>
  <c r="J45" i="1" s="1"/>
  <c r="M44" i="1"/>
  <c r="J44" i="1" s="1"/>
  <c r="AF25" i="7"/>
  <c r="AF26" i="7" s="1"/>
  <c r="AF27" i="7" s="1"/>
  <c r="J24" i="7"/>
  <c r="J28" i="7" s="1"/>
  <c r="I24" i="7"/>
  <c r="I25" i="7" s="1"/>
  <c r="I26" i="7" s="1"/>
  <c r="I27" i="7" s="1"/>
  <c r="H24" i="7"/>
  <c r="H25" i="7" s="1"/>
  <c r="H26" i="7" s="1"/>
  <c r="H27" i="7" s="1"/>
  <c r="J23" i="7"/>
  <c r="I23" i="7"/>
  <c r="H23" i="7"/>
  <c r="G23" i="7"/>
  <c r="F23" i="7"/>
  <c r="X22" i="7"/>
  <c r="X24" i="7" s="1"/>
  <c r="J22" i="7"/>
  <c r="H22" i="7"/>
  <c r="G22" i="7"/>
  <c r="G24" i="7" s="1"/>
  <c r="F22" i="7"/>
  <c r="F24" i="7" s="1"/>
  <c r="E22" i="7"/>
  <c r="E24" i="7" s="1"/>
  <c r="C22" i="7"/>
  <c r="C24" i="7" s="1"/>
  <c r="AP21" i="7"/>
  <c r="AO21" i="7"/>
  <c r="AO22" i="7" s="1"/>
  <c r="AO24" i="7" s="1"/>
  <c r="AN21" i="7"/>
  <c r="AM21" i="7"/>
  <c r="AL21" i="7"/>
  <c r="AK21" i="7"/>
  <c r="AJ21" i="7"/>
  <c r="AJ22" i="7" s="1"/>
  <c r="AJ24" i="7" s="1"/>
  <c r="AI21" i="7"/>
  <c r="AH21" i="7"/>
  <c r="AH22" i="7" s="1"/>
  <c r="AH24" i="7" s="1"/>
  <c r="AG21" i="7"/>
  <c r="AF21" i="7"/>
  <c r="AF22" i="7" s="1"/>
  <c r="AF24" i="7" s="1"/>
  <c r="AF28" i="7" s="1"/>
  <c r="AE21" i="7"/>
  <c r="AE22" i="7" s="1"/>
  <c r="AE24" i="7" s="1"/>
  <c r="AD21" i="7"/>
  <c r="AD22" i="7" s="1"/>
  <c r="AD24" i="7" s="1"/>
  <c r="AC21" i="7"/>
  <c r="AC22" i="7" s="1"/>
  <c r="AC24" i="7" s="1"/>
  <c r="AB21" i="7"/>
  <c r="AA21" i="7"/>
  <c r="AA22" i="7" s="1"/>
  <c r="AA24" i="7" s="1"/>
  <c r="Z21" i="7"/>
  <c r="Y21" i="7"/>
  <c r="Y22" i="7" s="1"/>
  <c r="Y24" i="7" s="1"/>
  <c r="X21" i="7"/>
  <c r="W21" i="7"/>
  <c r="V21" i="7"/>
  <c r="U21" i="7"/>
  <c r="T21" i="7"/>
  <c r="T22" i="7" s="1"/>
  <c r="T24" i="7" s="1"/>
  <c r="S21" i="7"/>
  <c r="R21" i="7"/>
  <c r="R22" i="7" s="1"/>
  <c r="R24" i="7" s="1"/>
  <c r="Q21" i="7"/>
  <c r="P21" i="7"/>
  <c r="P22" i="7" s="1"/>
  <c r="P24" i="7" s="1"/>
  <c r="P28" i="7" s="1"/>
  <c r="O21" i="7"/>
  <c r="O22" i="7" s="1"/>
  <c r="O24" i="7" s="1"/>
  <c r="N21" i="7"/>
  <c r="N22" i="7" s="1"/>
  <c r="N24" i="7" s="1"/>
  <c r="M21" i="7"/>
  <c r="M22" i="7" s="1"/>
  <c r="M24" i="7" s="1"/>
  <c r="L21" i="7"/>
  <c r="K21" i="7"/>
  <c r="K22" i="7" s="1"/>
  <c r="K24" i="7" s="1"/>
  <c r="K25" i="7" s="1"/>
  <c r="K26" i="7" s="1"/>
  <c r="K27" i="7" s="1"/>
  <c r="J21" i="7"/>
  <c r="I21" i="7"/>
  <c r="I22" i="7" s="1"/>
  <c r="H21" i="7"/>
  <c r="G21" i="7"/>
  <c r="F21" i="7"/>
  <c r="E21" i="7"/>
  <c r="D21" i="7"/>
  <c r="D22" i="7" s="1"/>
  <c r="D24" i="7" s="1"/>
  <c r="C21" i="7"/>
  <c r="AP20" i="7"/>
  <c r="AP22" i="7" s="1"/>
  <c r="AP24" i="7" s="1"/>
  <c r="AO20" i="7"/>
  <c r="AN20" i="7"/>
  <c r="AN22" i="7" s="1"/>
  <c r="AN24" i="7" s="1"/>
  <c r="AM20" i="7"/>
  <c r="AM22" i="7" s="1"/>
  <c r="AM24" i="7" s="1"/>
  <c r="AL20" i="7"/>
  <c r="AL22" i="7" s="1"/>
  <c r="AL24" i="7" s="1"/>
  <c r="AK20" i="7"/>
  <c r="AK22" i="7" s="1"/>
  <c r="AK24" i="7" s="1"/>
  <c r="AJ20" i="7"/>
  <c r="AI20" i="7"/>
  <c r="AI22" i="7" s="1"/>
  <c r="AI24" i="7" s="1"/>
  <c r="AI28" i="7" s="1"/>
  <c r="AH20" i="7"/>
  <c r="AG20" i="7"/>
  <c r="AG22" i="7" s="1"/>
  <c r="AG24" i="7" s="1"/>
  <c r="AG28" i="7" s="1"/>
  <c r="AF20" i="7"/>
  <c r="AE20" i="7"/>
  <c r="AD20" i="7"/>
  <c r="AC20" i="7"/>
  <c r="AB20" i="7"/>
  <c r="AB22" i="7" s="1"/>
  <c r="AB24" i="7" s="1"/>
  <c r="AA20" i="7"/>
  <c r="Z20" i="7"/>
  <c r="Z22" i="7" s="1"/>
  <c r="Z24" i="7" s="1"/>
  <c r="Y20" i="7"/>
  <c r="X20" i="7"/>
  <c r="W20" i="7"/>
  <c r="W22" i="7" s="1"/>
  <c r="W24" i="7" s="1"/>
  <c r="V20" i="7"/>
  <c r="V22" i="7" s="1"/>
  <c r="V24" i="7" s="1"/>
  <c r="U20" i="7"/>
  <c r="U22" i="7" s="1"/>
  <c r="U24" i="7" s="1"/>
  <c r="T20" i="7"/>
  <c r="S20" i="7"/>
  <c r="S22" i="7" s="1"/>
  <c r="S24" i="7" s="1"/>
  <c r="R20" i="7"/>
  <c r="Q20" i="7"/>
  <c r="Q22" i="7" s="1"/>
  <c r="Q24" i="7" s="1"/>
  <c r="P20" i="7"/>
  <c r="O20" i="7"/>
  <c r="N20" i="7"/>
  <c r="M20" i="7"/>
  <c r="L20" i="7"/>
  <c r="L22" i="7" s="1"/>
  <c r="L24" i="7" s="1"/>
  <c r="E18" i="7"/>
  <c r="L11" i="7"/>
  <c r="AX6" i="7"/>
  <c r="AW6" i="7"/>
  <c r="AV6" i="7"/>
  <c r="AU6" i="7"/>
  <c r="AQ6" i="7"/>
  <c r="AO6" i="7"/>
  <c r="AN6" i="7"/>
  <c r="AM6" i="7"/>
  <c r="AL6" i="7"/>
  <c r="AJ6" i="7"/>
  <c r="AH6" i="7"/>
  <c r="AG6" i="7"/>
  <c r="AF6" i="7"/>
  <c r="AA6" i="7"/>
  <c r="X6" i="7"/>
  <c r="W6" i="7"/>
  <c r="V6" i="7"/>
  <c r="U6" i="7"/>
  <c r="R6" i="7"/>
  <c r="N6" i="7"/>
  <c r="M6" i="7"/>
  <c r="L6" i="7"/>
  <c r="K6" i="7"/>
  <c r="J6" i="7"/>
  <c r="I6" i="7"/>
  <c r="H6" i="7"/>
  <c r="G6" i="7"/>
  <c r="F6" i="7"/>
  <c r="E6" i="7"/>
  <c r="AY5" i="7"/>
  <c r="AY6" i="7" s="1"/>
  <c r="AX5" i="7"/>
  <c r="AW5" i="7"/>
  <c r="AV5" i="7"/>
  <c r="AU5" i="7"/>
  <c r="AT5" i="7"/>
  <c r="AT6" i="7" s="1"/>
  <c r="AS5" i="7"/>
  <c r="AS6" i="7" s="1"/>
  <c r="AR5" i="7"/>
  <c r="AR6" i="7" s="1"/>
  <c r="AQ5" i="7"/>
  <c r="AP5" i="7"/>
  <c r="AP6" i="7" s="1"/>
  <c r="AO5" i="7"/>
  <c r="AN5" i="7"/>
  <c r="AM5" i="7"/>
  <c r="AL5" i="7"/>
  <c r="AK5" i="7"/>
  <c r="AK6" i="7" s="1"/>
  <c r="AJ5" i="7"/>
  <c r="AI5" i="7"/>
  <c r="AI6" i="7" s="1"/>
  <c r="AH5" i="7"/>
  <c r="AG5" i="7"/>
  <c r="AF5" i="7"/>
  <c r="AE5" i="7"/>
  <c r="AE6" i="7" s="1"/>
  <c r="AD5" i="7"/>
  <c r="AD6" i="7" s="1"/>
  <c r="AC5" i="7"/>
  <c r="AC6" i="7" s="1"/>
  <c r="AB5" i="7"/>
  <c r="AB6" i="7" s="1"/>
  <c r="AA5" i="7"/>
  <c r="Z5" i="7"/>
  <c r="Z6" i="7" s="1"/>
  <c r="Y5" i="7"/>
  <c r="X5" i="7"/>
  <c r="W5" i="7"/>
  <c r="V5" i="7"/>
  <c r="Y6" i="7" s="1"/>
  <c r="T5" i="7"/>
  <c r="T6" i="7" s="1"/>
  <c r="S5" i="7"/>
  <c r="S6" i="7" s="1"/>
  <c r="R5" i="7"/>
  <c r="O5" i="7"/>
  <c r="O6" i="7" s="1"/>
  <c r="N5" i="7"/>
  <c r="C150" i="5"/>
  <c r="X145" i="5"/>
  <c r="U145" i="5"/>
  <c r="R145" i="5"/>
  <c r="O145" i="5"/>
  <c r="L145" i="5"/>
  <c r="I145" i="5"/>
  <c r="F145" i="5"/>
  <c r="C145" i="5"/>
  <c r="X144" i="5"/>
  <c r="U144" i="5"/>
  <c r="R144" i="5"/>
  <c r="O144" i="5"/>
  <c r="L144" i="5"/>
  <c r="I144" i="5"/>
  <c r="F144" i="5"/>
  <c r="C144" i="5"/>
  <c r="T62" i="5"/>
  <c r="T61" i="5"/>
  <c r="E220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H195" i="1"/>
  <c r="I172" i="1"/>
  <c r="I171" i="1"/>
  <c r="I170" i="1"/>
  <c r="I161" i="1"/>
  <c r="I153" i="1"/>
  <c r="I152" i="1"/>
  <c r="I142" i="1"/>
  <c r="I129" i="1"/>
  <c r="I121" i="1"/>
  <c r="I118" i="1"/>
  <c r="I117" i="1"/>
  <c r="J99" i="1"/>
  <c r="I99" i="1"/>
  <c r="I132" i="1" s="1"/>
  <c r="I97" i="1"/>
  <c r="I96" i="1"/>
  <c r="I95" i="1"/>
  <c r="E212" i="1" s="1"/>
  <c r="G85" i="1"/>
  <c r="K157" i="1" s="1"/>
  <c r="G84" i="1"/>
  <c r="G158" i="1" s="1"/>
  <c r="M75" i="1"/>
  <c r="K75" i="1" s="1"/>
  <c r="B34" i="1" s="1"/>
  <c r="L75" i="1"/>
  <c r="I75" i="1"/>
  <c r="M74" i="1"/>
  <c r="L74" i="1"/>
  <c r="K74" i="1"/>
  <c r="B33" i="1" s="1"/>
  <c r="J74" i="1"/>
  <c r="I74" i="1"/>
  <c r="M73" i="1"/>
  <c r="L73" i="1"/>
  <c r="K73" i="1"/>
  <c r="B32" i="1" s="1"/>
  <c r="J73" i="1"/>
  <c r="I73" i="1"/>
  <c r="M72" i="1"/>
  <c r="L72" i="1"/>
  <c r="K72" i="1"/>
  <c r="J72" i="1"/>
  <c r="I72" i="1"/>
  <c r="M71" i="1"/>
  <c r="L71" i="1"/>
  <c r="K71" i="1"/>
  <c r="J71" i="1"/>
  <c r="I71" i="1"/>
  <c r="M70" i="1"/>
  <c r="L70" i="1"/>
  <c r="K70" i="1"/>
  <c r="J70" i="1"/>
  <c r="I70" i="1"/>
  <c r="M69" i="1"/>
  <c r="L69" i="1"/>
  <c r="K69" i="1"/>
  <c r="B28" i="1" s="1"/>
  <c r="J69" i="1"/>
  <c r="I69" i="1"/>
  <c r="M68" i="1"/>
  <c r="L68" i="1"/>
  <c r="K68" i="1"/>
  <c r="B27" i="1" s="1"/>
  <c r="J68" i="1"/>
  <c r="I68" i="1"/>
  <c r="M67" i="1"/>
  <c r="L67" i="1"/>
  <c r="K67" i="1"/>
  <c r="J67" i="1"/>
  <c r="I67" i="1"/>
  <c r="M66" i="1"/>
  <c r="I66" i="1" s="1"/>
  <c r="L66" i="1"/>
  <c r="K66" i="1"/>
  <c r="B25" i="1" s="1"/>
  <c r="J66" i="1"/>
  <c r="M65" i="1"/>
  <c r="L65" i="1"/>
  <c r="K65" i="1"/>
  <c r="B24" i="1" s="1"/>
  <c r="J65" i="1"/>
  <c r="M64" i="1"/>
  <c r="L64" i="1"/>
  <c r="K64" i="1"/>
  <c r="J64" i="1"/>
  <c r="M63" i="1"/>
  <c r="L63" i="1"/>
  <c r="K63" i="1"/>
  <c r="B22" i="1" s="1"/>
  <c r="J63" i="1"/>
  <c r="I63" i="1"/>
  <c r="M62" i="1"/>
  <c r="L62" i="1"/>
  <c r="K62" i="1"/>
  <c r="B21" i="1" s="1"/>
  <c r="J62" i="1"/>
  <c r="I62" i="1"/>
  <c r="M61" i="1"/>
  <c r="L61" i="1"/>
  <c r="K61" i="1"/>
  <c r="B20" i="1" s="1"/>
  <c r="J61" i="1"/>
  <c r="I61" i="1"/>
  <c r="M60" i="1"/>
  <c r="J60" i="1" s="1"/>
  <c r="L60" i="1"/>
  <c r="K60" i="1"/>
  <c r="M59" i="1"/>
  <c r="L59" i="1"/>
  <c r="K59" i="1"/>
  <c r="J59" i="1"/>
  <c r="I59" i="1"/>
  <c r="M58" i="1"/>
  <c r="L58" i="1"/>
  <c r="K58" i="1"/>
  <c r="J58" i="1"/>
  <c r="I58" i="1"/>
  <c r="M57" i="1"/>
  <c r="L57" i="1"/>
  <c r="K57" i="1"/>
  <c r="J57" i="1"/>
  <c r="I57" i="1"/>
  <c r="M56" i="1"/>
  <c r="K56" i="1" s="1"/>
  <c r="B15" i="1" s="1"/>
  <c r="L56" i="1"/>
  <c r="J56" i="1"/>
  <c r="I56" i="1"/>
  <c r="M55" i="1"/>
  <c r="K55" i="1" s="1"/>
  <c r="B14" i="1" s="1"/>
  <c r="L55" i="1"/>
  <c r="M54" i="1"/>
  <c r="J54" i="1" s="1"/>
  <c r="L54" i="1"/>
  <c r="K54" i="1"/>
  <c r="B13" i="1" s="1"/>
  <c r="I54" i="1"/>
  <c r="M53" i="1"/>
  <c r="I53" i="1" s="1"/>
  <c r="L53" i="1"/>
  <c r="M52" i="1"/>
  <c r="L52" i="1"/>
  <c r="M51" i="1"/>
  <c r="L51" i="1"/>
  <c r="K51" i="1"/>
  <c r="J51" i="1"/>
  <c r="I51" i="1"/>
  <c r="M50" i="1"/>
  <c r="L50" i="1"/>
  <c r="K50" i="1"/>
  <c r="J50" i="1"/>
  <c r="I50" i="1"/>
  <c r="M49" i="1"/>
  <c r="L49" i="1"/>
  <c r="K49" i="1"/>
  <c r="J49" i="1"/>
  <c r="I49" i="1"/>
  <c r="M48" i="1"/>
  <c r="J48" i="1" s="1"/>
  <c r="L48" i="1"/>
  <c r="K48" i="1"/>
  <c r="I48" i="1"/>
  <c r="M47" i="1"/>
  <c r="L47" i="1"/>
  <c r="K47" i="1"/>
  <c r="B5" i="1" s="1"/>
  <c r="J47" i="1"/>
  <c r="I47" i="1"/>
  <c r="L45" i="1"/>
  <c r="E35" i="1"/>
  <c r="G35" i="1" s="1"/>
  <c r="J35" i="1" s="1"/>
  <c r="B35" i="1"/>
  <c r="E34" i="1"/>
  <c r="G34" i="1" s="1"/>
  <c r="C34" i="1"/>
  <c r="E33" i="1"/>
  <c r="G33" i="1" s="1"/>
  <c r="C33" i="1"/>
  <c r="E32" i="1"/>
  <c r="G32" i="1" s="1"/>
  <c r="C32" i="1"/>
  <c r="E31" i="1"/>
  <c r="G31" i="1" s="1"/>
  <c r="M31" i="1" s="1"/>
  <c r="C31" i="1"/>
  <c r="B31" i="1"/>
  <c r="E30" i="1"/>
  <c r="G30" i="1" s="1"/>
  <c r="C30" i="1"/>
  <c r="B30" i="1"/>
  <c r="E29" i="1"/>
  <c r="G29" i="1" s="1"/>
  <c r="C29" i="1"/>
  <c r="B29" i="1"/>
  <c r="E28" i="1"/>
  <c r="G28" i="1" s="1"/>
  <c r="C28" i="1"/>
  <c r="E27" i="1"/>
  <c r="G27" i="1" s="1"/>
  <c r="M27" i="1" s="1"/>
  <c r="C27" i="1"/>
  <c r="E26" i="1"/>
  <c r="G26" i="1" s="1"/>
  <c r="C26" i="1"/>
  <c r="B26" i="1"/>
  <c r="E25" i="1"/>
  <c r="G25" i="1" s="1"/>
  <c r="C25" i="1"/>
  <c r="E24" i="1"/>
  <c r="G24" i="1" s="1"/>
  <c r="C24" i="1"/>
  <c r="E23" i="1"/>
  <c r="G23" i="1" s="1"/>
  <c r="M23" i="1" s="1"/>
  <c r="C23" i="1"/>
  <c r="B23" i="1"/>
  <c r="E22" i="1"/>
  <c r="G22" i="1" s="1"/>
  <c r="C22" i="1"/>
  <c r="E21" i="1"/>
  <c r="G21" i="1" s="1"/>
  <c r="C21" i="1"/>
  <c r="E20" i="1"/>
  <c r="G20" i="1" s="1"/>
  <c r="M20" i="1" s="1"/>
  <c r="C20" i="1"/>
  <c r="E19" i="1"/>
  <c r="G19" i="1" s="1"/>
  <c r="C19" i="1"/>
  <c r="B19" i="1"/>
  <c r="E18" i="1"/>
  <c r="G18" i="1" s="1"/>
  <c r="J18" i="1" s="1"/>
  <c r="C18" i="1"/>
  <c r="D18" i="1" s="1"/>
  <c r="B18" i="1"/>
  <c r="E17" i="1"/>
  <c r="G17" i="1" s="1"/>
  <c r="C17" i="1"/>
  <c r="D17" i="1" s="1"/>
  <c r="B17" i="1"/>
  <c r="E16" i="1"/>
  <c r="G16" i="1" s="1"/>
  <c r="M16" i="1" s="1"/>
  <c r="C16" i="1"/>
  <c r="D16" i="1" s="1"/>
  <c r="B16" i="1"/>
  <c r="E15" i="1"/>
  <c r="G15" i="1" s="1"/>
  <c r="M15" i="1" s="1"/>
  <c r="C15" i="1"/>
  <c r="D15" i="1" s="1"/>
  <c r="E14" i="1"/>
  <c r="G14" i="1" s="1"/>
  <c r="C14" i="1"/>
  <c r="D14" i="1" s="1"/>
  <c r="E13" i="1"/>
  <c r="G13" i="1" s="1"/>
  <c r="J13" i="1" s="1"/>
  <c r="C13" i="1"/>
  <c r="D13" i="1" s="1"/>
  <c r="E12" i="1"/>
  <c r="G12" i="1" s="1"/>
  <c r="C12" i="1"/>
  <c r="D12" i="1" s="1"/>
  <c r="E11" i="1"/>
  <c r="G11" i="1" s="1"/>
  <c r="C11" i="1"/>
  <c r="D11" i="1" s="1"/>
  <c r="E10" i="1"/>
  <c r="G10" i="1" s="1"/>
  <c r="M10" i="1" s="1"/>
  <c r="C10" i="1"/>
  <c r="D10" i="1" s="1"/>
  <c r="B10" i="1"/>
  <c r="E9" i="1"/>
  <c r="G9" i="1" s="1"/>
  <c r="C9" i="1"/>
  <c r="D9" i="1" s="1"/>
  <c r="B9" i="1"/>
  <c r="E8" i="1"/>
  <c r="G8" i="1" s="1"/>
  <c r="C8" i="1"/>
  <c r="D8" i="1" s="1"/>
  <c r="B8" i="1"/>
  <c r="E7" i="1"/>
  <c r="G7" i="1" s="1"/>
  <c r="C7" i="1"/>
  <c r="D7" i="1" s="1"/>
  <c r="B7" i="1"/>
  <c r="E5" i="1"/>
  <c r="G5" i="1" s="1"/>
  <c r="C5" i="1"/>
  <c r="D5" i="1" s="1"/>
  <c r="E4" i="1"/>
  <c r="G4" i="1" s="1"/>
  <c r="C4" i="1"/>
  <c r="D4" i="1" s="1"/>
  <c r="E3" i="1"/>
  <c r="G3" i="1" s="1"/>
  <c r="M3" i="1" s="1"/>
  <c r="C3" i="1"/>
  <c r="D3" i="1" s="1"/>
  <c r="H65" i="19" l="1"/>
  <c r="G65" i="19"/>
  <c r="E24" i="19" s="1"/>
  <c r="G24" i="19" s="1"/>
  <c r="J24" i="19" s="1"/>
  <c r="N79" i="5"/>
  <c r="Q79" i="5" s="1"/>
  <c r="T79" i="5" s="1"/>
  <c r="G73" i="19"/>
  <c r="G57" i="19"/>
  <c r="E16" i="19" s="1"/>
  <c r="G16" i="19" s="1"/>
  <c r="M16" i="19" s="1"/>
  <c r="H72" i="19"/>
  <c r="H56" i="19"/>
  <c r="G72" i="19"/>
  <c r="G56" i="19"/>
  <c r="H71" i="19"/>
  <c r="H55" i="19"/>
  <c r="I73" i="19"/>
  <c r="G54" i="19"/>
  <c r="H54" i="19"/>
  <c r="I59" i="19"/>
  <c r="G46" i="19"/>
  <c r="H62" i="19"/>
  <c r="H46" i="19"/>
  <c r="M46" i="19" s="1"/>
  <c r="G62" i="19"/>
  <c r="G61" i="19"/>
  <c r="E20" i="19" s="1"/>
  <c r="G20" i="19" s="1"/>
  <c r="J20" i="19" s="1"/>
  <c r="K50" i="19"/>
  <c r="B9" i="19" s="1"/>
  <c r="G60" i="19"/>
  <c r="E19" i="19" s="1"/>
  <c r="G19" i="19" s="1"/>
  <c r="J19" i="19" s="1"/>
  <c r="V39" i="19" s="1"/>
  <c r="H75" i="19"/>
  <c r="H59" i="19"/>
  <c r="J45" i="19"/>
  <c r="G59" i="19"/>
  <c r="H74" i="19"/>
  <c r="M74" i="19" s="1"/>
  <c r="I74" i="19" s="1"/>
  <c r="H58" i="19"/>
  <c r="I111" i="1"/>
  <c r="K44" i="19"/>
  <c r="B3" i="19" s="1"/>
  <c r="H57" i="19"/>
  <c r="M57" i="19" s="1"/>
  <c r="J57" i="19" s="1"/>
  <c r="M71" i="19"/>
  <c r="I45" i="19"/>
  <c r="E205" i="19"/>
  <c r="E208" i="19"/>
  <c r="D217" i="19"/>
  <c r="M61" i="19"/>
  <c r="C28" i="19"/>
  <c r="M66" i="19"/>
  <c r="C25" i="19"/>
  <c r="M73" i="19"/>
  <c r="C32" i="19"/>
  <c r="L66" i="19"/>
  <c r="D210" i="19"/>
  <c r="I66" i="19"/>
  <c r="L49" i="19"/>
  <c r="I65" i="19"/>
  <c r="L64" i="19"/>
  <c r="J49" i="19"/>
  <c r="I64" i="19"/>
  <c r="I49" i="19"/>
  <c r="M49" i="19"/>
  <c r="E217" i="19"/>
  <c r="L63" i="19"/>
  <c r="J48" i="19"/>
  <c r="M65" i="19"/>
  <c r="J65" i="19" s="1"/>
  <c r="I67" i="19"/>
  <c r="I50" i="19"/>
  <c r="E211" i="19"/>
  <c r="L61" i="19"/>
  <c r="L46" i="19"/>
  <c r="C22" i="19"/>
  <c r="M45" i="19"/>
  <c r="K46" i="19"/>
  <c r="E210" i="19"/>
  <c r="L60" i="19"/>
  <c r="J46" i="19"/>
  <c r="I46" i="19"/>
  <c r="D211" i="19"/>
  <c r="L45" i="19"/>
  <c r="L58" i="19"/>
  <c r="M56" i="19"/>
  <c r="I155" i="1"/>
  <c r="E5" i="19"/>
  <c r="G5" i="19" s="1"/>
  <c r="M5" i="19" s="1"/>
  <c r="C17" i="19"/>
  <c r="D17" i="19" s="1"/>
  <c r="M58" i="19"/>
  <c r="C29" i="19"/>
  <c r="M70" i="19"/>
  <c r="C11" i="19"/>
  <c r="D11" i="19" s="1"/>
  <c r="M64" i="19"/>
  <c r="C23" i="19"/>
  <c r="C16" i="19"/>
  <c r="D16" i="19" s="1"/>
  <c r="I72" i="19"/>
  <c r="I56" i="19"/>
  <c r="L71" i="19"/>
  <c r="L55" i="19"/>
  <c r="I71" i="19"/>
  <c r="L70" i="19"/>
  <c r="L62" i="19"/>
  <c r="L54" i="19"/>
  <c r="L48" i="19"/>
  <c r="I70" i="19"/>
  <c r="K48" i="19"/>
  <c r="B7" i="19" s="1"/>
  <c r="I58" i="19"/>
  <c r="I57" i="19"/>
  <c r="L69" i="19"/>
  <c r="L52" i="19"/>
  <c r="I68" i="19"/>
  <c r="I52" i="19"/>
  <c r="L53" i="19"/>
  <c r="L47" i="19"/>
  <c r="M75" i="19"/>
  <c r="I75" i="19" s="1"/>
  <c r="L75" i="19"/>
  <c r="M60" i="19"/>
  <c r="C8" i="19"/>
  <c r="D8" i="19" s="1"/>
  <c r="C7" i="19"/>
  <c r="D7" i="19" s="1"/>
  <c r="K54" i="19"/>
  <c r="B13" i="19" s="1"/>
  <c r="J54" i="19"/>
  <c r="J69" i="19"/>
  <c r="K69" i="19"/>
  <c r="B28" i="19" s="1"/>
  <c r="J62" i="19"/>
  <c r="K62" i="19"/>
  <c r="B21" i="19" s="1"/>
  <c r="J68" i="19"/>
  <c r="K68" i="19"/>
  <c r="B27" i="19" s="1"/>
  <c r="J61" i="19"/>
  <c r="K61" i="19"/>
  <c r="B20" i="19" s="1"/>
  <c r="J60" i="19"/>
  <c r="K60" i="19"/>
  <c r="J53" i="19"/>
  <c r="K53" i="19"/>
  <c r="B12" i="19" s="1"/>
  <c r="J66" i="19"/>
  <c r="K66" i="19"/>
  <c r="B25" i="19" s="1"/>
  <c r="J59" i="19"/>
  <c r="K59" i="19"/>
  <c r="B18" i="19" s="1"/>
  <c r="J71" i="19"/>
  <c r="K71" i="19"/>
  <c r="B30" i="19" s="1"/>
  <c r="J52" i="19"/>
  <c r="K52" i="19"/>
  <c r="B11" i="19" s="1"/>
  <c r="J64" i="19"/>
  <c r="K64" i="19"/>
  <c r="B23" i="19" s="1"/>
  <c r="J58" i="19"/>
  <c r="K58" i="19"/>
  <c r="B17" i="19" s="1"/>
  <c r="J70" i="19"/>
  <c r="K70" i="19"/>
  <c r="B29" i="19" s="1"/>
  <c r="J63" i="19"/>
  <c r="K63" i="19"/>
  <c r="B22" i="19" s="1"/>
  <c r="C24" i="19"/>
  <c r="K57" i="19"/>
  <c r="B16" i="19" s="1"/>
  <c r="K67" i="19"/>
  <c r="B26" i="19" s="1"/>
  <c r="L73" i="19"/>
  <c r="K73" i="19"/>
  <c r="B32" i="19" s="1"/>
  <c r="J73" i="19"/>
  <c r="C33" i="19"/>
  <c r="L74" i="19"/>
  <c r="E8" i="19"/>
  <c r="G8" i="19" s="1"/>
  <c r="J8" i="19" s="1"/>
  <c r="J75" i="1"/>
  <c r="C30" i="19"/>
  <c r="D218" i="19"/>
  <c r="E218" i="19"/>
  <c r="D206" i="19"/>
  <c r="I152" i="19"/>
  <c r="G84" i="19"/>
  <c r="G85" i="19"/>
  <c r="K157" i="19" s="1"/>
  <c r="I95" i="19"/>
  <c r="I104" i="19" s="1"/>
  <c r="I96" i="19"/>
  <c r="I105" i="19" s="1"/>
  <c r="I116" i="19" s="1"/>
  <c r="I128" i="19" s="1"/>
  <c r="I161" i="19"/>
  <c r="I97" i="19"/>
  <c r="I170" i="19"/>
  <c r="I171" i="19"/>
  <c r="I172" i="19"/>
  <c r="I106" i="19"/>
  <c r="I117" i="19"/>
  <c r="I118" i="19"/>
  <c r="I129" i="19"/>
  <c r="D207" i="19"/>
  <c r="I142" i="19"/>
  <c r="E207" i="19"/>
  <c r="D214" i="19"/>
  <c r="E33" i="19"/>
  <c r="G33" i="19" s="1"/>
  <c r="E29" i="19"/>
  <c r="G29" i="19" s="1"/>
  <c r="J29" i="19" s="1"/>
  <c r="E30" i="19"/>
  <c r="G30" i="19" s="1"/>
  <c r="M30" i="19" s="1"/>
  <c r="L35" i="19"/>
  <c r="R35" i="19" s="1"/>
  <c r="K35" i="19"/>
  <c r="Q35" i="19" s="1"/>
  <c r="J35" i="19"/>
  <c r="I110" i="1"/>
  <c r="I144" i="1"/>
  <c r="I104" i="1"/>
  <c r="I105" i="1"/>
  <c r="D3" i="12" s="1"/>
  <c r="J55" i="1"/>
  <c r="I55" i="1"/>
  <c r="I45" i="1"/>
  <c r="K45" i="1"/>
  <c r="B4" i="1" s="1"/>
  <c r="K4" i="1" s="1"/>
  <c r="Q4" i="1" s="1"/>
  <c r="D2" i="11"/>
  <c r="K19" i="1"/>
  <c r="Q19" i="1" s="1"/>
  <c r="D3" i="11"/>
  <c r="L29" i="1"/>
  <c r="R29" i="1" s="1"/>
  <c r="J53" i="1"/>
  <c r="K53" i="1"/>
  <c r="B12" i="1" s="1"/>
  <c r="L12" i="1" s="1"/>
  <c r="R12" i="1" s="1"/>
  <c r="L24" i="1"/>
  <c r="R24" i="1" s="1"/>
  <c r="L27" i="1"/>
  <c r="R27" i="1" s="1"/>
  <c r="K5" i="1"/>
  <c r="Q5" i="1" s="1"/>
  <c r="J26" i="1"/>
  <c r="K26" i="1"/>
  <c r="Q26" i="1" s="1"/>
  <c r="M26" i="1"/>
  <c r="L26" i="1"/>
  <c r="R26" i="1" s="1"/>
  <c r="K27" i="1"/>
  <c r="Q27" i="1" s="1"/>
  <c r="L6" i="1"/>
  <c r="R6" i="1" s="1"/>
  <c r="K7" i="1"/>
  <c r="Q7" i="1" s="1"/>
  <c r="L5" i="1"/>
  <c r="R5" i="1" s="1"/>
  <c r="M5" i="1"/>
  <c r="I60" i="1"/>
  <c r="C160" i="1"/>
  <c r="B3" i="18" s="1"/>
  <c r="M17" i="1"/>
  <c r="K17" i="1"/>
  <c r="Q17" i="1" s="1"/>
  <c r="J17" i="1"/>
  <c r="L17" i="1"/>
  <c r="R17" i="1" s="1"/>
  <c r="K30" i="1"/>
  <c r="Q30" i="1" s="1"/>
  <c r="J30" i="1"/>
  <c r="M30" i="1"/>
  <c r="L30" i="1"/>
  <c r="R30" i="1" s="1"/>
  <c r="I145" i="1"/>
  <c r="M14" i="1"/>
  <c r="L14" i="1"/>
  <c r="R14" i="1" s="1"/>
  <c r="K14" i="1"/>
  <c r="Q14" i="1" s="1"/>
  <c r="J14" i="1"/>
  <c r="M28" i="1"/>
  <c r="L28" i="1"/>
  <c r="R28" i="1" s="1"/>
  <c r="J28" i="1"/>
  <c r="K28" i="1"/>
  <c r="Q28" i="1" s="1"/>
  <c r="L7" i="1"/>
  <c r="R7" i="1" s="1"/>
  <c r="M7" i="1"/>
  <c r="J7" i="1"/>
  <c r="L21" i="1"/>
  <c r="R21" i="1" s="1"/>
  <c r="M21" i="1"/>
  <c r="K21" i="1"/>
  <c r="Q21" i="1" s="1"/>
  <c r="J21" i="1"/>
  <c r="J12" i="1"/>
  <c r="M12" i="1"/>
  <c r="M33" i="1"/>
  <c r="L33" i="1"/>
  <c r="R33" i="1" s="1"/>
  <c r="J33" i="1"/>
  <c r="Q28" i="7"/>
  <c r="Q25" i="7"/>
  <c r="Q26" i="7" s="1"/>
  <c r="Q27" i="7" s="1"/>
  <c r="Y25" i="7"/>
  <c r="Y26" i="7" s="1"/>
  <c r="Y27" i="7" s="1"/>
  <c r="Y28" i="7"/>
  <c r="AG25" i="7"/>
  <c r="AG26" i="7" s="1"/>
  <c r="AG27" i="7" s="1"/>
  <c r="M24" i="1"/>
  <c r="U25" i="7"/>
  <c r="U26" i="7" s="1"/>
  <c r="U27" i="7" s="1"/>
  <c r="U28" i="7"/>
  <c r="AK25" i="7"/>
  <c r="AK26" i="7" s="1"/>
  <c r="AK27" i="7" s="1"/>
  <c r="AK28" i="7"/>
  <c r="M28" i="7"/>
  <c r="M25" i="7"/>
  <c r="M26" i="7" s="1"/>
  <c r="M27" i="7" s="1"/>
  <c r="AC28" i="7"/>
  <c r="AC25" i="7"/>
  <c r="AC26" i="7" s="1"/>
  <c r="AC27" i="7" s="1"/>
  <c r="F25" i="7"/>
  <c r="F26" i="7" s="1"/>
  <c r="F27" i="7" s="1"/>
  <c r="F28" i="7"/>
  <c r="M9" i="1"/>
  <c r="L9" i="1"/>
  <c r="R9" i="1" s="1"/>
  <c r="K9" i="1"/>
  <c r="Q9" i="1" s="1"/>
  <c r="J9" i="1"/>
  <c r="J34" i="1"/>
  <c r="M34" i="1"/>
  <c r="L34" i="1"/>
  <c r="R34" i="1" s="1"/>
  <c r="K34" i="1"/>
  <c r="Q34" i="1" s="1"/>
  <c r="V25" i="7"/>
  <c r="V26" i="7" s="1"/>
  <c r="V27" i="7" s="1"/>
  <c r="V28" i="7"/>
  <c r="AL25" i="7"/>
  <c r="AL26" i="7" s="1"/>
  <c r="AL27" i="7" s="1"/>
  <c r="AL28" i="7"/>
  <c r="AA25" i="7"/>
  <c r="AA26" i="7" s="1"/>
  <c r="AA27" i="7" s="1"/>
  <c r="AA28" i="7"/>
  <c r="AI25" i="7"/>
  <c r="AI26" i="7" s="1"/>
  <c r="AI27" i="7" s="1"/>
  <c r="H28" i="7"/>
  <c r="X25" i="7"/>
  <c r="X26" i="7" s="1"/>
  <c r="X27" i="7" s="1"/>
  <c r="X28" i="7"/>
  <c r="I28" i="7"/>
  <c r="M11" i="1"/>
  <c r="J11" i="1"/>
  <c r="K24" i="1"/>
  <c r="S28" i="7"/>
  <c r="S25" i="7"/>
  <c r="S26" i="7" s="1"/>
  <c r="S27" i="7" s="1"/>
  <c r="M25" i="1"/>
  <c r="L25" i="1"/>
  <c r="R25" i="1" s="1"/>
  <c r="K25" i="1"/>
  <c r="Q25" i="1" s="1"/>
  <c r="J25" i="1"/>
  <c r="L16" i="1"/>
  <c r="R16" i="1" s="1"/>
  <c r="J19" i="1"/>
  <c r="V39" i="1" s="1"/>
  <c r="K28" i="7"/>
  <c r="M32" i="1"/>
  <c r="L32" i="1"/>
  <c r="R32" i="1" s="1"/>
  <c r="J32" i="1"/>
  <c r="K32" i="1"/>
  <c r="Q32" i="1" s="1"/>
  <c r="L20" i="1"/>
  <c r="R20" i="1" s="1"/>
  <c r="K20" i="1"/>
  <c r="Q20" i="1" s="1"/>
  <c r="J20" i="1"/>
  <c r="M8" i="1"/>
  <c r="L8" i="1"/>
  <c r="R8" i="1" s="1"/>
  <c r="K8" i="1"/>
  <c r="Q8" i="1" s="1"/>
  <c r="J8" i="1"/>
  <c r="J24" i="1"/>
  <c r="K33" i="1"/>
  <c r="Q33" i="1" s="1"/>
  <c r="AO25" i="7"/>
  <c r="AO26" i="7" s="1"/>
  <c r="AO27" i="7" s="1"/>
  <c r="AO28" i="7"/>
  <c r="E25" i="7"/>
  <c r="E26" i="7" s="1"/>
  <c r="E27" i="7" s="1"/>
  <c r="E28" i="7"/>
  <c r="M6" i="1"/>
  <c r="K6" i="1"/>
  <c r="Q6" i="1" s="1"/>
  <c r="J6" i="1"/>
  <c r="AN25" i="7"/>
  <c r="AN26" i="7" s="1"/>
  <c r="AN27" i="7" s="1"/>
  <c r="AN28" i="7"/>
  <c r="M4" i="1"/>
  <c r="J4" i="1"/>
  <c r="K10" i="1"/>
  <c r="Q10" i="1" s="1"/>
  <c r="J10" i="1"/>
  <c r="C25" i="7"/>
  <c r="C26" i="7" s="1"/>
  <c r="C27" i="7" s="1"/>
  <c r="M19" i="1"/>
  <c r="L19" i="1"/>
  <c r="L10" i="1"/>
  <c r="R10" i="1" s="1"/>
  <c r="G25" i="7"/>
  <c r="G26" i="7" s="1"/>
  <c r="G27" i="7" s="1"/>
  <c r="G28" i="7"/>
  <c r="J23" i="1"/>
  <c r="O28" i="7"/>
  <c r="O25" i="7"/>
  <c r="O26" i="7" s="1"/>
  <c r="O27" i="7" s="1"/>
  <c r="K23" i="1"/>
  <c r="Q23" i="1" s="1"/>
  <c r="E216" i="1"/>
  <c r="D216" i="1"/>
  <c r="I165" i="1"/>
  <c r="I120" i="1"/>
  <c r="I123" i="1" s="1"/>
  <c r="W25" i="7"/>
  <c r="W26" i="7" s="1"/>
  <c r="W27" i="7" s="1"/>
  <c r="W28" i="7"/>
  <c r="N28" i="7"/>
  <c r="N25" i="7"/>
  <c r="N26" i="7" s="1"/>
  <c r="N27" i="7" s="1"/>
  <c r="AD28" i="7"/>
  <c r="AD25" i="7"/>
  <c r="AD26" i="7" s="1"/>
  <c r="AD27" i="7" s="1"/>
  <c r="AM25" i="7"/>
  <c r="AM26" i="7" s="1"/>
  <c r="AM27" i="7" s="1"/>
  <c r="AM28" i="7"/>
  <c r="AE28" i="7"/>
  <c r="AE25" i="7"/>
  <c r="AE26" i="7" s="1"/>
  <c r="AE27" i="7" s="1"/>
  <c r="J16" i="1"/>
  <c r="K16" i="1"/>
  <c r="Q16" i="1" s="1"/>
  <c r="L23" i="1"/>
  <c r="R23" i="1" s="1"/>
  <c r="J27" i="1"/>
  <c r="Z28" i="7"/>
  <c r="Z25" i="7"/>
  <c r="Z26" i="7" s="1"/>
  <c r="Z27" i="7" s="1"/>
  <c r="AP28" i="7"/>
  <c r="AP25" i="7"/>
  <c r="AP26" i="7" s="1"/>
  <c r="AP27" i="7" s="1"/>
  <c r="R25" i="7"/>
  <c r="R26" i="7" s="1"/>
  <c r="R27" i="7" s="1"/>
  <c r="R28" i="7"/>
  <c r="AH25" i="7"/>
  <c r="AH26" i="7" s="1"/>
  <c r="AH27" i="7" s="1"/>
  <c r="AH28" i="7"/>
  <c r="I44" i="1"/>
  <c r="L28" i="7"/>
  <c r="L25" i="7"/>
  <c r="L26" i="7" s="1"/>
  <c r="L27" i="7" s="1"/>
  <c r="AB28" i="7"/>
  <c r="AB25" i="7"/>
  <c r="AB26" i="7" s="1"/>
  <c r="AB27" i="7" s="1"/>
  <c r="D25" i="7"/>
  <c r="D26" i="7" s="1"/>
  <c r="D27" i="7" s="1"/>
  <c r="D28" i="7"/>
  <c r="T25" i="7"/>
  <c r="T26" i="7" s="1"/>
  <c r="T27" i="7" s="1"/>
  <c r="T28" i="7"/>
  <c r="AJ25" i="7"/>
  <c r="AJ26" i="7" s="1"/>
  <c r="AJ27" i="7" s="1"/>
  <c r="AJ28" i="7"/>
  <c r="J3" i="1"/>
  <c r="L13" i="1"/>
  <c r="R13" i="1" s="1"/>
  <c r="L18" i="1"/>
  <c r="R18" i="1" s="1"/>
  <c r="K29" i="1"/>
  <c r="Q29" i="1" s="1"/>
  <c r="J31" i="1"/>
  <c r="K44" i="1"/>
  <c r="K52" i="1"/>
  <c r="J52" i="1"/>
  <c r="I52" i="1"/>
  <c r="P25" i="7"/>
  <c r="P26" i="7" s="1"/>
  <c r="P27" i="7" s="1"/>
  <c r="K13" i="1"/>
  <c r="Q13" i="1" s="1"/>
  <c r="K18" i="1"/>
  <c r="Q18" i="1" s="1"/>
  <c r="J29" i="1"/>
  <c r="M13" i="1"/>
  <c r="K15" i="1"/>
  <c r="Q15" i="1" s="1"/>
  <c r="M18" i="1"/>
  <c r="K22" i="1"/>
  <c r="Q22" i="1" s="1"/>
  <c r="J22" i="1"/>
  <c r="M29" i="1"/>
  <c r="K31" i="1"/>
  <c r="Q31" i="1" s="1"/>
  <c r="J5" i="1"/>
  <c r="J15" i="1"/>
  <c r="L22" i="1"/>
  <c r="R22" i="1" s="1"/>
  <c r="L31" i="1"/>
  <c r="R31" i="1" s="1"/>
  <c r="K35" i="1"/>
  <c r="Q35" i="1" s="1"/>
  <c r="L15" i="1"/>
  <c r="R15" i="1" s="1"/>
  <c r="M22" i="1"/>
  <c r="L35" i="1"/>
  <c r="R35" i="1" s="1"/>
  <c r="J25" i="7"/>
  <c r="J26" i="7" s="1"/>
  <c r="J27" i="7" s="1"/>
  <c r="D212" i="1"/>
  <c r="I121" i="19" l="1"/>
  <c r="K65" i="19"/>
  <c r="B24" i="19" s="1"/>
  <c r="L24" i="19" s="1"/>
  <c r="R24" i="19" s="1"/>
  <c r="I115" i="1"/>
  <c r="D2" i="12"/>
  <c r="I116" i="1"/>
  <c r="D3" i="13" s="1"/>
  <c r="E32" i="19"/>
  <c r="G32" i="19" s="1"/>
  <c r="M32" i="19" s="1"/>
  <c r="K74" i="19"/>
  <c r="B33" i="19" s="1"/>
  <c r="L33" i="19" s="1"/>
  <c r="R33" i="19" s="1"/>
  <c r="C20" i="19"/>
  <c r="J74" i="19"/>
  <c r="E4" i="19"/>
  <c r="G4" i="19" s="1"/>
  <c r="L4" i="19" s="1"/>
  <c r="R4" i="19" s="1"/>
  <c r="C19" i="19"/>
  <c r="C4" i="19"/>
  <c r="D4" i="19" s="1"/>
  <c r="C10" i="19"/>
  <c r="D10" i="19" s="1"/>
  <c r="E25" i="19"/>
  <c r="G25" i="19" s="1"/>
  <c r="J25" i="19" s="1"/>
  <c r="M47" i="19"/>
  <c r="I47" i="19" s="1"/>
  <c r="C26" i="19"/>
  <c r="C9" i="19"/>
  <c r="D9" i="19" s="1"/>
  <c r="M50" i="19"/>
  <c r="M63" i="19"/>
  <c r="C27" i="19"/>
  <c r="C21" i="19"/>
  <c r="E3" i="19"/>
  <c r="G3" i="19" s="1"/>
  <c r="C5" i="19"/>
  <c r="D5" i="19" s="1"/>
  <c r="C3" i="19"/>
  <c r="D3" i="19" s="1"/>
  <c r="C15" i="19"/>
  <c r="D15" i="19" s="1"/>
  <c r="E15" i="19"/>
  <c r="G15" i="19" s="1"/>
  <c r="M15" i="19" s="1"/>
  <c r="J5" i="19"/>
  <c r="C14" i="19"/>
  <c r="D14" i="19" s="1"/>
  <c r="L29" i="19"/>
  <c r="R29" i="19" s="1"/>
  <c r="C12" i="19"/>
  <c r="D12" i="19" s="1"/>
  <c r="C6" i="19"/>
  <c r="D6" i="19" s="1"/>
  <c r="M24" i="19"/>
  <c r="B6" i="19"/>
  <c r="M52" i="19"/>
  <c r="E11" i="19"/>
  <c r="G11" i="19" s="1"/>
  <c r="L11" i="19" s="1"/>
  <c r="R11" i="19" s="1"/>
  <c r="C13" i="19"/>
  <c r="D13" i="19" s="1"/>
  <c r="C18" i="19"/>
  <c r="D18" i="19" s="1"/>
  <c r="E28" i="19"/>
  <c r="G28" i="19" s="1"/>
  <c r="K28" i="19" s="1"/>
  <c r="Q28" i="19" s="1"/>
  <c r="M69" i="19"/>
  <c r="C31" i="19"/>
  <c r="E23" i="19"/>
  <c r="G23" i="19" s="1"/>
  <c r="J23" i="19" s="1"/>
  <c r="E22" i="19"/>
  <c r="G22" i="19" s="1"/>
  <c r="J22" i="19" s="1"/>
  <c r="E17" i="19"/>
  <c r="G17" i="19" s="1"/>
  <c r="M17" i="19" s="1"/>
  <c r="J16" i="19"/>
  <c r="K24" i="19"/>
  <c r="Q24" i="19" s="1"/>
  <c r="J75" i="19"/>
  <c r="K75" i="19"/>
  <c r="B34" i="19" s="1"/>
  <c r="E34" i="19"/>
  <c r="G34" i="19" s="1"/>
  <c r="J34" i="19" s="1"/>
  <c r="C34" i="19"/>
  <c r="J51" i="19"/>
  <c r="D216" i="19" s="1"/>
  <c r="D209" i="19"/>
  <c r="E209" i="19"/>
  <c r="M44" i="19"/>
  <c r="J56" i="19"/>
  <c r="K56" i="19"/>
  <c r="B15" i="19" s="1"/>
  <c r="J72" i="19"/>
  <c r="K72" i="19"/>
  <c r="B31" i="19" s="1"/>
  <c r="I120" i="19"/>
  <c r="I123" i="19" s="1"/>
  <c r="L8" i="19"/>
  <c r="R8" i="19" s="1"/>
  <c r="M8" i="19"/>
  <c r="K8" i="19"/>
  <c r="Q8" i="19" s="1"/>
  <c r="L30" i="19"/>
  <c r="R30" i="19" s="1"/>
  <c r="L20" i="19"/>
  <c r="R20" i="19" s="1"/>
  <c r="M20" i="19"/>
  <c r="K20" i="19"/>
  <c r="Q20" i="19" s="1"/>
  <c r="L16" i="19"/>
  <c r="R16" i="19" s="1"/>
  <c r="K16" i="19"/>
  <c r="Q16" i="19" s="1"/>
  <c r="L32" i="19"/>
  <c r="R32" i="19" s="1"/>
  <c r="J32" i="19"/>
  <c r="E212" i="19"/>
  <c r="D212" i="19"/>
  <c r="C160" i="19"/>
  <c r="G158" i="19"/>
  <c r="M33" i="19"/>
  <c r="M29" i="19"/>
  <c r="J30" i="19"/>
  <c r="M19" i="19"/>
  <c r="B19" i="19"/>
  <c r="K29" i="19"/>
  <c r="Q29" i="19" s="1"/>
  <c r="I165" i="19"/>
  <c r="K30" i="19"/>
  <c r="Q30" i="19" s="1"/>
  <c r="J33" i="19"/>
  <c r="I115" i="19"/>
  <c r="I141" i="19"/>
  <c r="I154" i="1"/>
  <c r="C159" i="1" s="1"/>
  <c r="I157" i="1" s="1"/>
  <c r="I108" i="1"/>
  <c r="L4" i="1"/>
  <c r="R4" i="1" s="1"/>
  <c r="I122" i="1"/>
  <c r="I119" i="1"/>
  <c r="K12" i="1"/>
  <c r="Q12" i="1" s="1"/>
  <c r="I158" i="1"/>
  <c r="B11" i="1"/>
  <c r="Q24" i="1"/>
  <c r="K38" i="1"/>
  <c r="C28" i="7"/>
  <c r="I134" i="1"/>
  <c r="I100" i="1"/>
  <c r="I90" i="1"/>
  <c r="B3" i="1"/>
  <c r="I163" i="1"/>
  <c r="K39" i="1"/>
  <c r="L39" i="1"/>
  <c r="R19" i="1"/>
  <c r="E214" i="1"/>
  <c r="D214" i="1"/>
  <c r="L38" i="1"/>
  <c r="K32" i="19" l="1"/>
  <c r="Q32" i="19" s="1"/>
  <c r="I128" i="1"/>
  <c r="D3" i="15" s="1"/>
  <c r="L25" i="19"/>
  <c r="R25" i="19" s="1"/>
  <c r="K25" i="19"/>
  <c r="Q25" i="19" s="1"/>
  <c r="K15" i="19"/>
  <c r="Q15" i="19" s="1"/>
  <c r="K4" i="19"/>
  <c r="Q4" i="19" s="1"/>
  <c r="K33" i="19"/>
  <c r="Q33" i="19" s="1"/>
  <c r="J4" i="19"/>
  <c r="M4" i="19"/>
  <c r="K23" i="19"/>
  <c r="Q23" i="19" s="1"/>
  <c r="J47" i="19"/>
  <c r="I99" i="19"/>
  <c r="I132" i="19" s="1"/>
  <c r="J15" i="19"/>
  <c r="M25" i="19"/>
  <c r="L28" i="19"/>
  <c r="R28" i="19" s="1"/>
  <c r="M3" i="19"/>
  <c r="L3" i="19"/>
  <c r="R3" i="19" s="1"/>
  <c r="I158" i="19"/>
  <c r="G3" i="18"/>
  <c r="M67" i="19"/>
  <c r="J67" i="19" s="1"/>
  <c r="E26" i="19"/>
  <c r="G26" i="19" s="1"/>
  <c r="K47" i="19"/>
  <c r="M68" i="19"/>
  <c r="E27" i="19"/>
  <c r="G27" i="19" s="1"/>
  <c r="E9" i="19"/>
  <c r="G9" i="19" s="1"/>
  <c r="L9" i="19" s="1"/>
  <c r="R9" i="19" s="1"/>
  <c r="K3" i="19"/>
  <c r="Q3" i="19" s="1"/>
  <c r="L22" i="19"/>
  <c r="R22" i="19" s="1"/>
  <c r="E21" i="19"/>
  <c r="G21" i="19" s="1"/>
  <c r="M22" i="19"/>
  <c r="L23" i="19"/>
  <c r="R23" i="19" s="1"/>
  <c r="K17" i="19"/>
  <c r="Q17" i="19" s="1"/>
  <c r="J3" i="19"/>
  <c r="M51" i="19"/>
  <c r="K51" i="19" s="1"/>
  <c r="B10" i="19" s="1"/>
  <c r="E10" i="19"/>
  <c r="G10" i="19" s="1"/>
  <c r="I145" i="19"/>
  <c r="M11" i="19"/>
  <c r="J11" i="19"/>
  <c r="J17" i="19"/>
  <c r="M72" i="19"/>
  <c r="E31" i="19"/>
  <c r="G31" i="19" s="1"/>
  <c r="K31" i="19" s="1"/>
  <c r="Q31" i="19" s="1"/>
  <c r="M59" i="19"/>
  <c r="E18" i="19"/>
  <c r="G18" i="19" s="1"/>
  <c r="M23" i="19"/>
  <c r="K11" i="19"/>
  <c r="Q11" i="19" s="1"/>
  <c r="K22" i="19"/>
  <c r="Q22" i="19" s="1"/>
  <c r="E7" i="19"/>
  <c r="G7" i="19" s="1"/>
  <c r="E6" i="19"/>
  <c r="G6" i="19" s="1"/>
  <c r="M53" i="19"/>
  <c r="E12" i="19"/>
  <c r="G12" i="19" s="1"/>
  <c r="M28" i="19"/>
  <c r="J28" i="19"/>
  <c r="M55" i="19"/>
  <c r="E14" i="19"/>
  <c r="G14" i="19" s="1"/>
  <c r="L17" i="19"/>
  <c r="R17" i="19" s="1"/>
  <c r="M54" i="19"/>
  <c r="E13" i="19"/>
  <c r="G13" i="19" s="1"/>
  <c r="I122" i="19"/>
  <c r="M34" i="19"/>
  <c r="L34" i="19"/>
  <c r="R34" i="19" s="1"/>
  <c r="K34" i="19"/>
  <c r="Q34" i="19" s="1"/>
  <c r="E216" i="19"/>
  <c r="L15" i="19"/>
  <c r="R15" i="19" s="1"/>
  <c r="L19" i="19"/>
  <c r="K19" i="19"/>
  <c r="I151" i="19"/>
  <c r="I127" i="19"/>
  <c r="I109" i="1"/>
  <c r="G157" i="1"/>
  <c r="L3" i="1"/>
  <c r="K3" i="1"/>
  <c r="R38" i="1"/>
  <c r="G81" i="1"/>
  <c r="G136" i="1" s="1"/>
  <c r="S38" i="1"/>
  <c r="T38" i="1" s="1"/>
  <c r="U38" i="1" s="1"/>
  <c r="G82" i="1"/>
  <c r="Q38" i="1"/>
  <c r="E38" i="1"/>
  <c r="G38" i="1" s="1"/>
  <c r="M38" i="1" s="1"/>
  <c r="R39" i="1"/>
  <c r="L11" i="1"/>
  <c r="R11" i="1" s="1"/>
  <c r="K11" i="1"/>
  <c r="Q11" i="1" s="1"/>
  <c r="C115" i="1"/>
  <c r="B2" i="13" s="1"/>
  <c r="G113" i="1"/>
  <c r="Q39" i="1"/>
  <c r="E39" i="1"/>
  <c r="S39" i="1"/>
  <c r="I131" i="1" s="1"/>
  <c r="I141" i="1" l="1"/>
  <c r="D3" i="16" s="1"/>
  <c r="L31" i="19"/>
  <c r="R31" i="19" s="1"/>
  <c r="M62" i="19"/>
  <c r="I111" i="19"/>
  <c r="B5" i="19"/>
  <c r="I163" i="19"/>
  <c r="I90" i="19"/>
  <c r="M26" i="19"/>
  <c r="L26" i="19"/>
  <c r="R26" i="19" s="1"/>
  <c r="J26" i="19"/>
  <c r="K26" i="19"/>
  <c r="Q26" i="19" s="1"/>
  <c r="M9" i="19"/>
  <c r="K9" i="19"/>
  <c r="Q9" i="19" s="1"/>
  <c r="M10" i="19"/>
  <c r="J10" i="19"/>
  <c r="L10" i="19"/>
  <c r="R10" i="19" s="1"/>
  <c r="K10" i="19"/>
  <c r="Q10" i="19" s="1"/>
  <c r="M21" i="19"/>
  <c r="L21" i="19"/>
  <c r="R21" i="19" s="1"/>
  <c r="J21" i="19"/>
  <c r="K21" i="19"/>
  <c r="Q21" i="19" s="1"/>
  <c r="J27" i="19"/>
  <c r="M27" i="19"/>
  <c r="L27" i="19"/>
  <c r="R27" i="19" s="1"/>
  <c r="K27" i="19"/>
  <c r="Q27" i="19" s="1"/>
  <c r="J9" i="19"/>
  <c r="I55" i="19"/>
  <c r="J55" i="19"/>
  <c r="K55" i="19"/>
  <c r="M12" i="19"/>
  <c r="J12" i="19"/>
  <c r="L12" i="19"/>
  <c r="R12" i="19" s="1"/>
  <c r="K12" i="19"/>
  <c r="Q12" i="19" s="1"/>
  <c r="M6" i="19"/>
  <c r="K6" i="19"/>
  <c r="Q6" i="19" s="1"/>
  <c r="J6" i="19"/>
  <c r="L6" i="19"/>
  <c r="R6" i="19" s="1"/>
  <c r="M48" i="19"/>
  <c r="I110" i="19"/>
  <c r="I119" i="19" s="1"/>
  <c r="I155" i="19"/>
  <c r="J7" i="19"/>
  <c r="M7" i="19"/>
  <c r="L7" i="19"/>
  <c r="R7" i="19" s="1"/>
  <c r="K7" i="19"/>
  <c r="Q7" i="19" s="1"/>
  <c r="M13" i="19"/>
  <c r="L13" i="19"/>
  <c r="R13" i="19" s="1"/>
  <c r="K13" i="19"/>
  <c r="Q13" i="19" s="1"/>
  <c r="J13" i="19"/>
  <c r="M18" i="19"/>
  <c r="L18" i="19"/>
  <c r="R18" i="19" s="1"/>
  <c r="J18" i="19"/>
  <c r="K18" i="19"/>
  <c r="Q18" i="19" s="1"/>
  <c r="J31" i="19"/>
  <c r="M31" i="19"/>
  <c r="M14" i="19"/>
  <c r="J14" i="19"/>
  <c r="I144" i="19"/>
  <c r="C116" i="1"/>
  <c r="B3" i="13" s="1"/>
  <c r="G114" i="1"/>
  <c r="R19" i="19"/>
  <c r="Q19" i="19"/>
  <c r="I160" i="19"/>
  <c r="I140" i="19"/>
  <c r="C161" i="1"/>
  <c r="B2" i="18"/>
  <c r="C104" i="1"/>
  <c r="G102" i="1"/>
  <c r="D217" i="1"/>
  <c r="I113" i="1"/>
  <c r="K117" i="1"/>
  <c r="G103" i="1"/>
  <c r="C105" i="1"/>
  <c r="B3" i="12" s="1"/>
  <c r="C151" i="1"/>
  <c r="B3" i="17" s="1"/>
  <c r="G148" i="1"/>
  <c r="C128" i="1"/>
  <c r="B3" i="15" s="1"/>
  <c r="G126" i="1"/>
  <c r="I133" i="1"/>
  <c r="G39" i="1"/>
  <c r="M39" i="1" s="1"/>
  <c r="I166" i="1"/>
  <c r="R3" i="1"/>
  <c r="L37" i="1"/>
  <c r="G79" i="1" s="1"/>
  <c r="L40" i="1"/>
  <c r="L36" i="1"/>
  <c r="K40" i="1"/>
  <c r="K36" i="1"/>
  <c r="K37" i="1"/>
  <c r="Q3" i="1"/>
  <c r="I136" i="1"/>
  <c r="T39" i="1"/>
  <c r="U39" i="1" s="1"/>
  <c r="C150" i="1"/>
  <c r="B2" i="17" s="1"/>
  <c r="G147" i="1"/>
  <c r="C127" i="1"/>
  <c r="B2" i="15" s="1"/>
  <c r="G125" i="1"/>
  <c r="I151" i="1" l="1"/>
  <c r="D3" i="17" s="1"/>
  <c r="I109" i="19"/>
  <c r="G114" i="19" s="1"/>
  <c r="I102" i="1"/>
  <c r="B2" i="12"/>
  <c r="I154" i="19"/>
  <c r="G157" i="19" s="1"/>
  <c r="L39" i="19"/>
  <c r="I108" i="19"/>
  <c r="C115" i="19" s="1"/>
  <c r="L38" i="19"/>
  <c r="G81" i="19" s="1"/>
  <c r="G147" i="19" s="1"/>
  <c r="K39" i="19"/>
  <c r="Q39" i="19" s="1"/>
  <c r="K38" i="19"/>
  <c r="C159" i="19"/>
  <c r="G2" i="18" s="1"/>
  <c r="K5" i="19"/>
  <c r="Q5" i="19" s="1"/>
  <c r="L5" i="19"/>
  <c r="R5" i="19" s="1"/>
  <c r="B14" i="19"/>
  <c r="I100" i="19"/>
  <c r="I134" i="19"/>
  <c r="N116" i="1"/>
  <c r="E116" i="1"/>
  <c r="K116" i="1"/>
  <c r="E3" i="13" s="1"/>
  <c r="K118" i="1"/>
  <c r="I114" i="1"/>
  <c r="D213" i="19"/>
  <c r="K160" i="19"/>
  <c r="E213" i="19"/>
  <c r="E160" i="19"/>
  <c r="N160" i="19"/>
  <c r="I150" i="19"/>
  <c r="I103" i="1"/>
  <c r="K161" i="1"/>
  <c r="E217" i="1"/>
  <c r="C106" i="1"/>
  <c r="E218" i="1"/>
  <c r="D218" i="1"/>
  <c r="S40" i="1"/>
  <c r="T40" i="1" s="1"/>
  <c r="U40" i="1" s="1"/>
  <c r="Q40" i="1"/>
  <c r="E40" i="1"/>
  <c r="K41" i="1"/>
  <c r="R36" i="1"/>
  <c r="N105" i="1"/>
  <c r="K105" i="1"/>
  <c r="E3" i="12" s="1"/>
  <c r="E105" i="1"/>
  <c r="S36" i="1"/>
  <c r="Q36" i="1"/>
  <c r="E36" i="1"/>
  <c r="G36" i="1" s="1"/>
  <c r="M36" i="1" s="1"/>
  <c r="E37" i="1"/>
  <c r="G37" i="1" s="1"/>
  <c r="M37" i="1" s="1"/>
  <c r="Q37" i="1"/>
  <c r="G80" i="1"/>
  <c r="S37" i="1"/>
  <c r="T37" i="1" s="1"/>
  <c r="U37" i="1" s="1"/>
  <c r="R40" i="1"/>
  <c r="L41" i="1"/>
  <c r="R37" i="1"/>
  <c r="C141" i="1"/>
  <c r="G139" i="1"/>
  <c r="I137" i="1"/>
  <c r="G137" i="1"/>
  <c r="I126" i="1"/>
  <c r="N128" i="1"/>
  <c r="K128" i="1"/>
  <c r="E3" i="15" s="1"/>
  <c r="E128" i="1"/>
  <c r="I148" i="1"/>
  <c r="C153" i="1"/>
  <c r="I125" i="1"/>
  <c r="C129" i="1"/>
  <c r="I147" i="1"/>
  <c r="C152" i="1"/>
  <c r="E151" i="1" l="1"/>
  <c r="K151" i="1"/>
  <c r="E3" i="17" s="1"/>
  <c r="I160" i="1"/>
  <c r="D3" i="18" s="1"/>
  <c r="N151" i="1"/>
  <c r="C116" i="19"/>
  <c r="E116" i="19" s="1"/>
  <c r="C150" i="19"/>
  <c r="G2" i="17" s="1"/>
  <c r="G113" i="19"/>
  <c r="E39" i="19"/>
  <c r="I166" i="19" s="1"/>
  <c r="R39" i="19"/>
  <c r="S39" i="19"/>
  <c r="I131" i="19" s="1"/>
  <c r="C161" i="19"/>
  <c r="K161" i="19" s="1"/>
  <c r="I157" i="19"/>
  <c r="K117" i="19"/>
  <c r="G2" i="13"/>
  <c r="R38" i="19"/>
  <c r="C127" i="19"/>
  <c r="E127" i="19" s="1"/>
  <c r="G136" i="19"/>
  <c r="G125" i="19"/>
  <c r="E38" i="19"/>
  <c r="G38" i="19" s="1"/>
  <c r="M38" i="19" s="1"/>
  <c r="K40" i="19"/>
  <c r="K41" i="19" s="1"/>
  <c r="L40" i="19"/>
  <c r="L41" i="19" s="1"/>
  <c r="R41" i="19" s="1"/>
  <c r="G82" i="19"/>
  <c r="I136" i="19" s="1"/>
  <c r="Q38" i="19"/>
  <c r="S38" i="19"/>
  <c r="T38" i="19" s="1"/>
  <c r="U38" i="19" s="1"/>
  <c r="K14" i="19"/>
  <c r="L14" i="19"/>
  <c r="C104" i="19"/>
  <c r="G2" i="12" s="1"/>
  <c r="G102" i="19"/>
  <c r="E115" i="19"/>
  <c r="K115" i="19"/>
  <c r="N115" i="19"/>
  <c r="I113" i="19"/>
  <c r="I159" i="19"/>
  <c r="R41" i="1"/>
  <c r="K153" i="1"/>
  <c r="C140" i="1"/>
  <c r="B2" i="16" s="1"/>
  <c r="K152" i="1"/>
  <c r="B3" i="16"/>
  <c r="I139" i="1"/>
  <c r="K129" i="1"/>
  <c r="K106" i="1"/>
  <c r="T36" i="1"/>
  <c r="U36" i="1" s="1"/>
  <c r="Q41" i="1"/>
  <c r="E41" i="1"/>
  <c r="G41" i="1" s="1"/>
  <c r="N141" i="1"/>
  <c r="K141" i="1"/>
  <c r="E3" i="16" s="1"/>
  <c r="E141" i="1"/>
  <c r="C96" i="1"/>
  <c r="B3" i="11" s="1"/>
  <c r="G40" i="1"/>
  <c r="M40" i="1" s="1"/>
  <c r="C170" i="1"/>
  <c r="G93" i="1"/>
  <c r="I164" i="1"/>
  <c r="G94" i="1"/>
  <c r="I91" i="1"/>
  <c r="C171" i="1"/>
  <c r="G169" i="1"/>
  <c r="G168" i="1"/>
  <c r="C95" i="1"/>
  <c r="B2" i="11" s="1"/>
  <c r="B138" i="1"/>
  <c r="K160" i="1"/>
  <c r="E3" i="18" s="1"/>
  <c r="E160" i="1" l="1"/>
  <c r="N160" i="1"/>
  <c r="D213" i="1"/>
  <c r="E213" i="1"/>
  <c r="K150" i="19"/>
  <c r="N116" i="19"/>
  <c r="N117" i="19" s="1"/>
  <c r="I114" i="19"/>
  <c r="G3" i="13"/>
  <c r="K118" i="19"/>
  <c r="K116" i="19"/>
  <c r="C152" i="19"/>
  <c r="K152" i="19" s="1"/>
  <c r="I147" i="19"/>
  <c r="G39" i="19"/>
  <c r="M39" i="19" s="1"/>
  <c r="E150" i="19"/>
  <c r="T39" i="19"/>
  <c r="U39" i="19" s="1"/>
  <c r="N150" i="19"/>
  <c r="K127" i="19"/>
  <c r="I125" i="19"/>
  <c r="I133" i="19"/>
  <c r="G139" i="19" s="1"/>
  <c r="S40" i="19"/>
  <c r="T40" i="19" s="1"/>
  <c r="U40" i="19" s="1"/>
  <c r="E40" i="19"/>
  <c r="E41" i="19"/>
  <c r="G41" i="19" s="1"/>
  <c r="Q41" i="19"/>
  <c r="R40" i="19"/>
  <c r="Q40" i="19"/>
  <c r="G2" i="15"/>
  <c r="N127" i="19"/>
  <c r="C128" i="19"/>
  <c r="C105" i="19"/>
  <c r="G3" i="12" s="1"/>
  <c r="G148" i="19"/>
  <c r="C151" i="19"/>
  <c r="G103" i="19"/>
  <c r="G126" i="19"/>
  <c r="N104" i="19"/>
  <c r="I102" i="19"/>
  <c r="K104" i="19"/>
  <c r="E104" i="19"/>
  <c r="R14" i="19"/>
  <c r="L37" i="19"/>
  <c r="L36" i="19"/>
  <c r="R36" i="19" s="1"/>
  <c r="Q14" i="19"/>
  <c r="K36" i="19"/>
  <c r="K37" i="19"/>
  <c r="E159" i="19"/>
  <c r="K159" i="19"/>
  <c r="E221" i="19" s="1"/>
  <c r="N159" i="19"/>
  <c r="N161" i="19" s="1"/>
  <c r="E104" i="1"/>
  <c r="K104" i="1"/>
  <c r="E2" i="12" s="1"/>
  <c r="N104" i="1"/>
  <c r="N106" i="1" s="1"/>
  <c r="K142" i="1"/>
  <c r="C142" i="1"/>
  <c r="N95" i="1"/>
  <c r="D220" i="1"/>
  <c r="I169" i="1"/>
  <c r="N171" i="1"/>
  <c r="K171" i="1"/>
  <c r="E171" i="1"/>
  <c r="N96" i="1"/>
  <c r="E96" i="1"/>
  <c r="I94" i="1"/>
  <c r="K96" i="1"/>
  <c r="E3" i="11" s="1"/>
  <c r="N170" i="1"/>
  <c r="I168" i="1"/>
  <c r="C172" i="1"/>
  <c r="K172" i="1" s="1"/>
  <c r="K170" i="1"/>
  <c r="E170" i="1"/>
  <c r="I93" i="1"/>
  <c r="C97" i="1"/>
  <c r="E95" i="1"/>
  <c r="K95" i="1"/>
  <c r="E2" i="11" s="1"/>
  <c r="I137" i="19" l="1"/>
  <c r="B138" i="19" s="1"/>
  <c r="C141" i="19"/>
  <c r="G3" i="16" s="1"/>
  <c r="G137" i="19"/>
  <c r="G40" i="19"/>
  <c r="M40" i="19" s="1"/>
  <c r="I91" i="19"/>
  <c r="C96" i="19"/>
  <c r="N96" i="19" s="1"/>
  <c r="G94" i="19"/>
  <c r="G169" i="19"/>
  <c r="C170" i="19"/>
  <c r="E170" i="19" s="1"/>
  <c r="C171" i="19"/>
  <c r="N171" i="19" s="1"/>
  <c r="I164" i="19"/>
  <c r="G93" i="19"/>
  <c r="G168" i="19"/>
  <c r="C95" i="19"/>
  <c r="K95" i="19" s="1"/>
  <c r="I148" i="19"/>
  <c r="N151" i="19"/>
  <c r="N153" i="19" s="1"/>
  <c r="E151" i="19"/>
  <c r="C153" i="19"/>
  <c r="K153" i="19" s="1"/>
  <c r="K151" i="19"/>
  <c r="G3" i="17"/>
  <c r="N105" i="19"/>
  <c r="N106" i="19" s="1"/>
  <c r="E105" i="19"/>
  <c r="K105" i="19"/>
  <c r="D221" i="19" s="1"/>
  <c r="I103" i="19"/>
  <c r="C129" i="19"/>
  <c r="K129" i="19" s="1"/>
  <c r="G3" i="15"/>
  <c r="E128" i="19"/>
  <c r="I126" i="19"/>
  <c r="K128" i="19"/>
  <c r="N128" i="19"/>
  <c r="N129" i="19" s="1"/>
  <c r="C106" i="19"/>
  <c r="K106" i="19" s="1"/>
  <c r="D220" i="19" s="1"/>
  <c r="Q37" i="19"/>
  <c r="G80" i="19"/>
  <c r="S37" i="19"/>
  <c r="T37" i="19" s="1"/>
  <c r="U37" i="19" s="1"/>
  <c r="E37" i="19"/>
  <c r="G37" i="19" s="1"/>
  <c r="M37" i="19" s="1"/>
  <c r="Q36" i="19"/>
  <c r="S36" i="19"/>
  <c r="T36" i="19" s="1"/>
  <c r="U36" i="19" s="1"/>
  <c r="E36" i="19"/>
  <c r="G36" i="19" s="1"/>
  <c r="M36" i="19" s="1"/>
  <c r="G79" i="19"/>
  <c r="R37" i="19"/>
  <c r="D221" i="1"/>
  <c r="I127" i="1"/>
  <c r="D2" i="13"/>
  <c r="N115" i="1"/>
  <c r="N117" i="1" s="1"/>
  <c r="K115" i="1"/>
  <c r="E2" i="13" s="1"/>
  <c r="E115" i="1"/>
  <c r="I83" i="1"/>
  <c r="K83" i="1" s="1"/>
  <c r="B83" i="1" s="1"/>
  <c r="K143" i="1"/>
  <c r="N172" i="1"/>
  <c r="N97" i="1"/>
  <c r="G83" i="1"/>
  <c r="K97" i="1"/>
  <c r="C140" i="19" l="1"/>
  <c r="G2" i="16" s="1"/>
  <c r="E141" i="19"/>
  <c r="K141" i="19"/>
  <c r="I139" i="19"/>
  <c r="N141" i="19"/>
  <c r="K171" i="19"/>
  <c r="E95" i="19"/>
  <c r="N170" i="19"/>
  <c r="N172" i="19" s="1"/>
  <c r="I93" i="19"/>
  <c r="G3" i="11"/>
  <c r="E171" i="19"/>
  <c r="K170" i="19"/>
  <c r="C172" i="19"/>
  <c r="K172" i="19" s="1"/>
  <c r="G2" i="11"/>
  <c r="C97" i="19"/>
  <c r="N95" i="19"/>
  <c r="N97" i="19" s="1"/>
  <c r="I169" i="19"/>
  <c r="I94" i="19"/>
  <c r="E96" i="19"/>
  <c r="K96" i="19"/>
  <c r="I168" i="19"/>
  <c r="D2" i="15"/>
  <c r="I140" i="1"/>
  <c r="E127" i="1"/>
  <c r="K127" i="1"/>
  <c r="E2" i="15" s="1"/>
  <c r="N127" i="1"/>
  <c r="N129" i="1" s="1"/>
  <c r="N140" i="19" l="1"/>
  <c r="N142" i="19" s="1"/>
  <c r="K142" i="19"/>
  <c r="C142" i="19"/>
  <c r="K143" i="19" s="1"/>
  <c r="K140" i="19"/>
  <c r="E140" i="19"/>
  <c r="G83" i="19"/>
  <c r="K97" i="19"/>
  <c r="I83" i="19"/>
  <c r="K83" i="19" s="1"/>
  <c r="B83" i="19" s="1"/>
  <c r="D2" i="16"/>
  <c r="I150" i="1"/>
  <c r="E140" i="1"/>
  <c r="N140" i="1"/>
  <c r="N142" i="1" s="1"/>
  <c r="K140" i="1"/>
  <c r="E2" i="16" s="1"/>
  <c r="D2" i="17" l="1"/>
  <c r="I159" i="1"/>
  <c r="E150" i="1"/>
  <c r="K150" i="1"/>
  <c r="E2" i="17" s="1"/>
  <c r="N150" i="1"/>
  <c r="N153" i="1" s="1"/>
  <c r="D2" i="18" l="1"/>
  <c r="K159" i="1"/>
  <c r="N159" i="1"/>
  <c r="N161" i="1" s="1"/>
  <c r="E159" i="1"/>
  <c r="E2" i="18" l="1"/>
  <c r="E2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44" authorId="0" shapeId="0" xr:uid="{00000000-0006-0000-0000-000001000000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44" authorId="0" shapeId="0" xr:uid="{00000000-0006-0000-0000-000002000000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45" authorId="0" shapeId="0" xr:uid="{00000000-0006-0000-0000-000003000000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45" authorId="0" shapeId="0" xr:uid="{00000000-0006-0000-0000-000004000000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46" authorId="0" shapeId="0" xr:uid="{D01A30EC-A91F-46A1-8D35-F9877D271EDB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46" authorId="0" shapeId="0" xr:uid="{0937E064-0DE6-449E-95EA-C914291D1A04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47" authorId="0" shapeId="0" xr:uid="{00000000-0006-0000-0000-000005000000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47" authorId="0" shapeId="0" xr:uid="{00000000-0006-0000-0000-000006000000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48" authorId="0" shapeId="0" xr:uid="{00000000-0006-0000-0000-000008000000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48" authorId="0" shapeId="0" xr:uid="{00000000-0006-0000-0000-000009000000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49" authorId="0" shapeId="0" xr:uid="{00000000-0006-0000-0000-00000A000000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49" authorId="0" shapeId="0" xr:uid="{00000000-0006-0000-0000-00000B000000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50" authorId="0" shapeId="0" xr:uid="{00000000-0006-0000-0000-00000C000000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50" authorId="0" shapeId="0" xr:uid="{00000000-0006-0000-0000-00000D000000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51" authorId="0" shapeId="0" xr:uid="{00000000-0006-0000-0000-00000E000000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51" authorId="0" shapeId="0" xr:uid="{00000000-0006-0000-0000-00000F000000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52" authorId="0" shapeId="0" xr:uid="{00000000-0006-0000-0000-000010000000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52" authorId="0" shapeId="0" xr:uid="{00000000-0006-0000-0000-000011000000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53" authorId="0" shapeId="0" xr:uid="{00000000-0006-0000-0000-000012000000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53" authorId="0" shapeId="0" xr:uid="{00000000-0006-0000-0000-000013000000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54" authorId="0" shapeId="0" xr:uid="{00000000-0006-0000-0000-000014000000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54" authorId="0" shapeId="0" xr:uid="{00000000-0006-0000-0000-000015000000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55" authorId="0" shapeId="0" xr:uid="{1CD7F02C-5067-46D5-B1B3-8E1B963AA816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55" authorId="0" shapeId="0" xr:uid="{A0738A13-2609-46F0-9CC8-B0B35F267B46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56" authorId="0" shapeId="0" xr:uid="{00000000-0006-0000-0000-000016000000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56" authorId="0" shapeId="0" xr:uid="{00000000-0006-0000-0000-000017000000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57" authorId="0" shapeId="0" xr:uid="{00000000-0006-0000-0000-000018000000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57" authorId="0" shapeId="0" xr:uid="{00000000-0006-0000-0000-000019000000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58" authorId="0" shapeId="0" xr:uid="{00000000-0006-0000-0000-00001A000000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58" authorId="0" shapeId="0" xr:uid="{00000000-0006-0000-0000-00001B000000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59" authorId="0" shapeId="0" xr:uid="{00000000-0006-0000-0000-00001C000000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59" authorId="0" shapeId="0" xr:uid="{00000000-0006-0000-0000-00001D000000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60" authorId="0" shapeId="0" xr:uid="{00000000-0006-0000-0000-00001E000000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60" authorId="0" shapeId="0" xr:uid="{00000000-0006-0000-0000-00001F000000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61" authorId="0" shapeId="0" xr:uid="{00000000-0006-0000-0000-000020000000}">
      <text>
        <r>
          <rPr>
            <sz val="10"/>
            <color rgb="FF000000"/>
            <rFont val="Calibri"/>
            <scheme val="minor"/>
          </rPr>
          <t xml:space="preserve">wpisz kat linii odg. Nr 2
</t>
        </r>
      </text>
    </comment>
    <comment ref="H61" authorId="0" shapeId="0" xr:uid="{00000000-0006-0000-0000-000021000000}">
      <text>
        <r>
          <rPr>
            <sz val="10"/>
            <color rgb="FF000000"/>
            <rFont val="Calibri"/>
            <scheme val="minor"/>
          </rPr>
          <t xml:space="preserve">wpisz dł. linii odgałęźnej nr 1
</t>
        </r>
      </text>
    </comment>
    <comment ref="G62" authorId="0" shapeId="0" xr:uid="{00000000-0006-0000-0000-000022000000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62" authorId="0" shapeId="0" xr:uid="{00000000-0006-0000-0000-000023000000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H63" authorId="0" shapeId="0" xr:uid="{00000000-0006-0000-0000-000024000000}">
      <text>
        <r>
          <rPr>
            <sz val="10"/>
            <color rgb="FF000000"/>
            <rFont val="Calibri"/>
            <scheme val="minor"/>
          </rPr>
          <t xml:space="preserve">wpisz dł. linii odgałęźnej nr 1
</t>
        </r>
      </text>
    </comment>
    <comment ref="G87" authorId="0" shapeId="0" xr:uid="{00000000-0006-0000-0000-000025000000}">
      <text>
        <r>
          <rPr>
            <sz val="10"/>
            <color rgb="FF000000"/>
            <rFont val="Calibri"/>
            <scheme val="minor"/>
          </rPr>
          <t>wpisz z dane słupów</t>
        </r>
      </text>
    </comment>
    <comment ref="G88" authorId="0" shapeId="0" xr:uid="{00000000-0006-0000-0000-000026000000}">
      <text>
        <r>
          <rPr>
            <sz val="10"/>
            <color rgb="FF000000"/>
            <rFont val="Calibri"/>
            <scheme val="minor"/>
          </rPr>
          <t>7 - zapas kabla
10 - FDP,FCP + zapas kabla
15 - FDP,FCP ADSS96J j.w.</t>
        </r>
      </text>
    </comment>
    <comment ref="B210" authorId="0" shapeId="0" xr:uid="{00000000-0006-0000-0000-000027000000}">
      <text>
        <r>
          <rPr>
            <sz val="10"/>
            <color rgb="FF000000"/>
            <rFont val="Calibri"/>
            <scheme val="minor"/>
          </rPr>
          <t xml:space="preserve">pobiera dane dla Lg1
</t>
        </r>
      </text>
    </comment>
    <comment ref="P210" authorId="0" shapeId="0" xr:uid="{00000000-0006-0000-0000-000028000000}">
      <text>
        <r>
          <rPr>
            <sz val="10"/>
            <color rgb="FF000000"/>
            <rFont val="Calibri"/>
            <scheme val="minor"/>
          </rPr>
          <t xml:space="preserve">pobiera dane dla Lg1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44" authorId="0" shapeId="0" xr:uid="{2C7779AE-0058-49BC-A61D-B8EBC32FC7AA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44" authorId="0" shapeId="0" xr:uid="{AC35689C-659C-4500-AC77-6471C67E48E1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45" authorId="0" shapeId="0" xr:uid="{6A21E852-0A89-4124-85C7-4AB053C802FD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45" authorId="0" shapeId="0" xr:uid="{0B7F8BB2-6984-4CB5-9F5C-18AFE0CB0E58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46" authorId="0" shapeId="0" xr:uid="{3C3E54CF-FAE0-4693-B76D-8D70457FCF15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46" authorId="0" shapeId="0" xr:uid="{9681D7D9-F633-4501-A129-4FCCC47CA7DD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47" authorId="0" shapeId="0" xr:uid="{E2FB3343-2577-4232-9751-885A4DCEB7CC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47" authorId="0" shapeId="0" xr:uid="{799475CA-373A-4B42-9DFB-FECA36E4B64B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48" authorId="0" shapeId="0" xr:uid="{6989F28D-625E-4632-ABD7-9BB8BBB67E2A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48" authorId="0" shapeId="0" xr:uid="{B9998F6D-2611-4DCC-87E8-55E8005A00B3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49" authorId="0" shapeId="0" xr:uid="{5FEDA129-1B9D-41DD-82CD-BFC2CBDFF3BC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49" authorId="0" shapeId="0" xr:uid="{1939E6E1-CC6E-4FDF-BA44-CB6546AAC32B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50" authorId="0" shapeId="0" xr:uid="{35CF725A-7796-46E7-A068-B1C43D728187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50" authorId="0" shapeId="0" xr:uid="{15B318DE-F5AE-4B4C-991E-E9355021EA8A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51" authorId="0" shapeId="0" xr:uid="{6BF76C9B-F323-4721-823D-53BE9ABD7031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51" authorId="0" shapeId="0" xr:uid="{C1EC2E81-A90E-4192-8713-19AB161D9D51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52" authorId="0" shapeId="0" xr:uid="{9D514512-9C18-4276-A4D1-2E7FD27D7360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52" authorId="0" shapeId="0" xr:uid="{B3695D9E-C558-42DF-921E-5CFD0AE9DC77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53" authorId="0" shapeId="0" xr:uid="{E939C447-4749-4F83-878E-416C546B8D82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53" authorId="0" shapeId="0" xr:uid="{66F0FC78-311C-4DC7-AC46-A6133392AB54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54" authorId="0" shapeId="0" xr:uid="{4D7FA96F-5540-4B33-AC28-BD6D1A4F43EA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54" authorId="0" shapeId="0" xr:uid="{45DDB772-792D-4508-B8A0-AD614CE06684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56" authorId="0" shapeId="0" xr:uid="{EA39CB9E-B337-47BA-A88B-5385DDE0D5E2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56" authorId="0" shapeId="0" xr:uid="{993A19B9-0E5C-4ACA-95C8-0E1BBC0F5F36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57" authorId="0" shapeId="0" xr:uid="{3B90D1F2-8776-4B23-B4C8-01D5C0BCF9FA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57" authorId="0" shapeId="0" xr:uid="{A88D9DE1-F32B-43ED-B154-E9A619591A13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58" authorId="0" shapeId="0" xr:uid="{E242A2F7-BC13-47EF-A11A-1BF85F2CC54E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58" authorId="0" shapeId="0" xr:uid="{662E7647-17EA-4DFC-822D-B94BF1371FC7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59" authorId="0" shapeId="0" xr:uid="{BC5E1EDB-71A6-49B8-902F-0735D9D0DE6A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59" authorId="0" shapeId="0" xr:uid="{5223F8CF-7A11-486B-9CAA-2B2D38955A26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60" authorId="0" shapeId="0" xr:uid="{434F892A-7E8C-4BA0-A795-80605C185034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60" authorId="0" shapeId="0" xr:uid="{BB825A96-4FE2-46C5-B33F-196828F63C10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61" authorId="0" shapeId="0" xr:uid="{FA55947E-1C4C-49EE-8460-B748DB216C0E}">
      <text>
        <r>
          <rPr>
            <sz val="10"/>
            <color rgb="FF000000"/>
            <rFont val="Calibri"/>
            <scheme val="minor"/>
          </rPr>
          <t xml:space="preserve">wpisz kat linii odg. Nr 2
</t>
        </r>
      </text>
    </comment>
    <comment ref="H61" authorId="0" shapeId="0" xr:uid="{B5C33EF8-51CF-4406-8805-E3D5C32E88E1}">
      <text>
        <r>
          <rPr>
            <sz val="10"/>
            <color rgb="FF000000"/>
            <rFont val="Calibri"/>
            <scheme val="minor"/>
          </rPr>
          <t xml:space="preserve">wpisz dł. linii odgałęźnej nr 1
</t>
        </r>
      </text>
    </comment>
    <comment ref="G62" authorId="0" shapeId="0" xr:uid="{D752CA84-BDE7-4C39-9AEF-3EAA097FBC47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62" authorId="0" shapeId="0" xr:uid="{7C1D48A3-B5CE-4A33-BDD9-A1078D227B16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H63" authorId="0" shapeId="0" xr:uid="{44B2E489-98C9-4FCE-B01B-7994AEC4F970}">
      <text>
        <r>
          <rPr>
            <sz val="10"/>
            <color rgb="FF000000"/>
            <rFont val="Calibri"/>
            <scheme val="minor"/>
          </rPr>
          <t xml:space="preserve">wpisz dł. linii odgałęźnej nr 1
</t>
        </r>
      </text>
    </comment>
    <comment ref="G87" authorId="0" shapeId="0" xr:uid="{6F3C65D6-6CB8-406B-8F42-F64B038CD316}">
      <text>
        <r>
          <rPr>
            <sz val="10"/>
            <color rgb="FF000000"/>
            <rFont val="Calibri"/>
            <scheme val="minor"/>
          </rPr>
          <t>wpisz z dane słupów</t>
        </r>
      </text>
    </comment>
    <comment ref="G88" authorId="0" shapeId="0" xr:uid="{9E5B63A8-1EAD-4055-B9EF-3BCC2F1233A0}">
      <text>
        <r>
          <rPr>
            <sz val="10"/>
            <color rgb="FF000000"/>
            <rFont val="Calibri"/>
            <scheme val="minor"/>
          </rPr>
          <t>7 - zapas kabla
10 - FDP,FCP + zapas kabla
15 - FDP,FCP ADSS96J j.w.</t>
        </r>
      </text>
    </comment>
    <comment ref="B210" authorId="0" shapeId="0" xr:uid="{7589F3A2-33CE-4904-B9AE-F960A079BCC2}">
      <text>
        <r>
          <rPr>
            <sz val="10"/>
            <color rgb="FF000000"/>
            <rFont val="Calibri"/>
            <scheme val="minor"/>
          </rPr>
          <t xml:space="preserve">pobiera dane dla Lg1
</t>
        </r>
      </text>
    </comment>
    <comment ref="P210" authorId="0" shapeId="0" xr:uid="{52840510-4BE4-40F2-8FB7-4E05C79F3F74}">
      <text>
        <r>
          <rPr>
            <sz val="10"/>
            <color rgb="FF000000"/>
            <rFont val="Calibri"/>
            <scheme val="minor"/>
          </rPr>
          <t xml:space="preserve">pobiera dane dla Lg1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9" authorId="0" shapeId="0" xr:uid="{00000000-0006-0000-0400-000001000000}">
      <text>
        <r>
          <rPr>
            <sz val="10"/>
            <color rgb="FF000000"/>
            <rFont val="Calibri"/>
            <scheme val="minor"/>
          </rPr>
          <t>liczone</t>
        </r>
      </text>
    </comment>
    <comment ref="R20" authorId="0" shapeId="0" xr:uid="{00000000-0006-0000-0400-000002000000}">
      <text>
        <r>
          <rPr>
            <sz val="10"/>
            <color rgb="FF000000"/>
            <rFont val="Calibri"/>
            <scheme val="minor"/>
          </rPr>
          <t>liczone</t>
        </r>
      </text>
    </comment>
    <comment ref="AA127" authorId="0" shapeId="0" xr:uid="{333D2DC9-62A2-4222-9C7F-EDF2E9CA46FD}">
      <text>
        <r>
          <rPr>
            <sz val="10"/>
            <color rgb="FF000000"/>
            <rFont val="Calibri"/>
            <scheme val="minor"/>
          </rPr>
          <t>liczone</t>
        </r>
      </text>
    </comment>
    <comment ref="AA128" authorId="0" shapeId="0" xr:uid="{00000000-0006-0000-0400-000004000000}">
      <text>
        <r>
          <rPr>
            <sz val="10"/>
            <color rgb="FF000000"/>
            <rFont val="Calibri"/>
            <scheme val="minor"/>
          </rPr>
          <t>liczone</t>
        </r>
      </text>
    </comment>
    <comment ref="AA129" authorId="0" shapeId="0" xr:uid="{00000000-0006-0000-0400-000005000000}">
      <text>
        <r>
          <rPr>
            <sz val="10"/>
            <color rgb="FF000000"/>
            <rFont val="Calibri"/>
            <scheme val="minor"/>
          </rPr>
          <t>liczone</t>
        </r>
      </text>
    </comment>
    <comment ref="AA130" authorId="0" shapeId="0" xr:uid="{00000000-0006-0000-0400-000006000000}">
      <text>
        <r>
          <rPr>
            <sz val="10"/>
            <color rgb="FF000000"/>
            <rFont val="Calibri"/>
            <scheme val="minor"/>
          </rPr>
          <t>liczone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500-000001000000}">
      <text>
        <r>
          <rPr>
            <sz val="10"/>
            <color rgb="FF000000"/>
            <rFont val="Calibri"/>
            <scheme val="minor"/>
          </rPr>
          <t xml:space="preserve">dopuszczalne obciążenie słupa w osi x
</t>
        </r>
      </text>
    </comment>
    <comment ref="C2" authorId="0" shapeId="0" xr:uid="{00000000-0006-0000-0500-000002000000}">
      <text>
        <r>
          <rPr>
            <sz val="10"/>
            <color rgb="FF000000"/>
            <rFont val="Calibri"/>
            <scheme val="minor"/>
          </rPr>
          <t>dopuszczalne obciążenie słupa w osi y</t>
        </r>
      </text>
    </comment>
    <comment ref="D2" authorId="0" shapeId="0" xr:uid="{00000000-0006-0000-0500-000003000000}">
      <text>
        <r>
          <rPr>
            <sz val="10"/>
            <color rgb="FF000000"/>
            <rFont val="Calibri"/>
            <scheme val="minor"/>
          </rPr>
          <t>obciążenie słupa wiatrem w osi
 x
strefa I</t>
        </r>
      </text>
    </comment>
    <comment ref="E2" authorId="0" shapeId="0" xr:uid="{00000000-0006-0000-0500-000004000000}">
      <text>
        <r>
          <rPr>
            <sz val="10"/>
            <color rgb="FF000000"/>
            <rFont val="Calibri"/>
            <scheme val="minor"/>
          </rPr>
          <t>obciążenie słupa wiatrem w osi y
strefa I</t>
        </r>
      </text>
    </comment>
    <comment ref="F2" authorId="0" shapeId="0" xr:uid="{00000000-0006-0000-0500-000005000000}">
      <text>
        <r>
          <rPr>
            <sz val="10"/>
            <color rgb="FF000000"/>
            <rFont val="Calibri"/>
            <scheme val="minor"/>
          </rPr>
          <t>obciążenie słupa wiatrem w osi
 x
strefa II</t>
        </r>
      </text>
    </comment>
    <comment ref="G2" authorId="0" shapeId="0" xr:uid="{00000000-0006-0000-0500-000006000000}">
      <text>
        <r>
          <rPr>
            <sz val="10"/>
            <color rgb="FF000000"/>
            <rFont val="Calibri"/>
            <scheme val="minor"/>
          </rPr>
          <t>obciążenie słupa wiatrem w osi y
strefa II</t>
        </r>
      </text>
    </comment>
    <comment ref="A3" authorId="0" shapeId="0" xr:uid="{00000000-0006-0000-0500-000007000000}">
      <text>
        <r>
          <rPr>
            <sz val="10"/>
            <color rgb="FF000000"/>
            <rFont val="Calibri"/>
            <scheme val="minor"/>
          </rPr>
          <t>dane katalog Energolinia EN-144 ensto</t>
        </r>
      </text>
    </comment>
    <comment ref="A5" authorId="0" shapeId="0" xr:uid="{00000000-0006-0000-0500-000008000000}">
      <text>
        <r>
          <rPr>
            <sz val="10"/>
            <color rgb="FF000000"/>
            <rFont val="Calibri"/>
            <scheme val="minor"/>
          </rPr>
          <t>dane katalog Energolinia EN-144 ensto</t>
        </r>
      </text>
    </comment>
    <comment ref="A6" authorId="0" shapeId="0" xr:uid="{00000000-0006-0000-0500-000009000000}">
      <text>
        <r>
          <rPr>
            <sz val="10"/>
            <color rgb="FF000000"/>
            <rFont val="Calibri"/>
            <scheme val="minor"/>
          </rPr>
          <t>dane katalog Energolinia EN-144 ensto</t>
        </r>
      </text>
    </comment>
    <comment ref="A7" authorId="0" shapeId="0" xr:uid="{00000000-0006-0000-0500-00000A000000}">
      <text>
        <r>
          <rPr>
            <sz val="10"/>
            <color rgb="FF000000"/>
            <rFont val="Calibri"/>
            <scheme val="minor"/>
          </rPr>
          <t>dane katalog Energolinia EN-144 ensto</t>
        </r>
      </text>
    </comment>
    <comment ref="A8" authorId="0" shapeId="0" xr:uid="{00000000-0006-0000-0500-00000B000000}">
      <text>
        <r>
          <rPr>
            <sz val="10"/>
            <color rgb="FF000000"/>
            <rFont val="Calibri"/>
            <scheme val="minor"/>
          </rPr>
          <t>dane katalog Energolinia EN-144 ensto</t>
        </r>
      </text>
    </comment>
    <comment ref="A9" authorId="0" shapeId="0" xr:uid="{00000000-0006-0000-0500-00000C000000}">
      <text>
        <r>
          <rPr>
            <sz val="10"/>
            <color rgb="FF000000"/>
            <rFont val="Calibri"/>
            <scheme val="minor"/>
          </rPr>
          <t>dane katalog Energolinia EN-144 ensto</t>
        </r>
      </text>
    </comment>
    <comment ref="A10" authorId="0" shapeId="0" xr:uid="{00000000-0006-0000-0500-00000D000000}">
      <text>
        <r>
          <rPr>
            <sz val="10"/>
            <color rgb="FF000000"/>
            <rFont val="Calibri"/>
            <scheme val="minor"/>
          </rPr>
          <t>dane katalog Energolinia EN-144 ensto</t>
        </r>
      </text>
    </comment>
    <comment ref="A11" authorId="0" shapeId="0" xr:uid="{00000000-0006-0000-0500-00000E000000}">
      <text>
        <r>
          <rPr>
            <sz val="10"/>
            <color rgb="FF000000"/>
            <rFont val="Calibri"/>
            <scheme val="minor"/>
          </rPr>
          <t>dane katalog Energolinia EN-144 ensto</t>
        </r>
      </text>
    </comment>
    <comment ref="A12" authorId="0" shapeId="0" xr:uid="{00000000-0006-0000-0500-00000F000000}">
      <text>
        <r>
          <rPr>
            <sz val="10"/>
            <color rgb="FF000000"/>
            <rFont val="Calibri"/>
            <scheme val="minor"/>
          </rPr>
          <t>dane katalog Energolinia EN-144 ensto</t>
        </r>
      </text>
    </comment>
    <comment ref="A13" authorId="0" shapeId="0" xr:uid="{00000000-0006-0000-0500-000010000000}">
      <text>
        <r>
          <rPr>
            <sz val="10"/>
            <color rgb="FF000000"/>
            <rFont val="Calibri"/>
            <scheme val="minor"/>
          </rPr>
          <t>dane katalog Energolinia EN-144 ensto</t>
        </r>
      </text>
    </comment>
    <comment ref="A14" authorId="0" shapeId="0" xr:uid="{00000000-0006-0000-0500-000011000000}">
      <text>
        <r>
          <rPr>
            <sz val="10"/>
            <color rgb="FF000000"/>
            <rFont val="Calibri"/>
            <scheme val="minor"/>
          </rPr>
          <t>dane katalog Energolinia EN-144 ensto</t>
        </r>
      </text>
    </comment>
    <comment ref="A15" authorId="0" shapeId="0" xr:uid="{00000000-0006-0000-0500-000012000000}">
      <text>
        <r>
          <rPr>
            <sz val="10"/>
            <color rgb="FF000000"/>
            <rFont val="Calibri"/>
            <scheme val="minor"/>
          </rPr>
          <t>dane katalog Energolinia EN-144 ensto</t>
        </r>
      </text>
    </comment>
    <comment ref="A16" authorId="0" shapeId="0" xr:uid="{00000000-0006-0000-0500-000013000000}">
      <text>
        <r>
          <rPr>
            <sz val="10"/>
            <color rgb="FF000000"/>
            <rFont val="Calibri"/>
            <scheme val="minor"/>
          </rPr>
          <t>dane katalog Energolinia EN-144 ensto</t>
        </r>
      </text>
    </comment>
    <comment ref="A17" authorId="0" shapeId="0" xr:uid="{00000000-0006-0000-0500-000014000000}">
      <text>
        <r>
          <rPr>
            <sz val="10"/>
            <color rgb="FF000000"/>
            <rFont val="Calibri"/>
            <scheme val="minor"/>
          </rPr>
          <t>dane katalog Energolinia EN-144 ensto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600-000001000000}">
      <text>
        <r>
          <rPr>
            <sz val="10"/>
            <color rgb="FF000000"/>
            <rFont val="Calibri"/>
            <scheme val="minor"/>
          </rPr>
          <t xml:space="preserve">dla Wi i WII przewody do wysokości 10m  C=0,8
</t>
        </r>
      </text>
    </comment>
    <comment ref="C3" authorId="0" shapeId="0" xr:uid="{00000000-0006-0000-0600-000002000000}">
      <text>
        <r>
          <rPr>
            <sz val="10"/>
            <color rgb="FF000000"/>
            <rFont val="Calibri"/>
            <scheme val="minor"/>
          </rPr>
          <t>k =1 dla kabli powyżej 14mm
k=1.1 dla kabli poniżej 14mm</t>
        </r>
      </text>
    </comment>
    <comment ref="D3" authorId="0" shapeId="0" xr:uid="{00000000-0006-0000-0600-000003000000}">
      <text>
        <r>
          <rPr>
            <sz val="10"/>
            <color rgb="FF000000"/>
            <rFont val="Calibri"/>
            <scheme val="minor"/>
          </rPr>
          <t>PN E 
dla WI =49daN/m2
dla WII =58daN/m2</t>
        </r>
      </text>
    </comment>
    <comment ref="N5" authorId="0" shapeId="0" xr:uid="{00000000-0006-0000-0600-000004000000}">
      <text>
        <r>
          <rPr>
            <sz val="10"/>
            <color rgb="FF000000"/>
            <rFont val="Calibri"/>
            <scheme val="minor"/>
          </rPr>
          <t>ro = 0,011*(b/D)+0,34
b-rozstaw pzrewodów, D-średnica przewodów</t>
        </r>
      </text>
    </comment>
    <comment ref="B6" authorId="0" shapeId="0" xr:uid="{00000000-0006-0000-0600-000005000000}">
      <text>
        <r>
          <rPr>
            <sz val="10"/>
            <color rgb="FF000000"/>
            <rFont val="Calibri"/>
            <scheme val="minor"/>
          </rPr>
          <t>PN-E-5100-1
= C*k*p*A</t>
        </r>
      </text>
    </comment>
    <comment ref="B14" authorId="0" shapeId="0" xr:uid="{00000000-0006-0000-0600-000006000000}">
      <text>
        <r>
          <rPr>
            <sz val="10"/>
            <color rgb="FF000000"/>
            <rFont val="Calibri"/>
            <scheme val="minor"/>
          </rPr>
          <t>PM:
ASXSN
www.kable.elektra.pl/files/864380474/asxsn.pdf
oraz 
AL.
PTPIREE-01/01-1998 tom1 rzdział 4,1</t>
        </r>
      </text>
    </comment>
    <comment ref="B15" authorId="0" shapeId="0" xr:uid="{00000000-0006-0000-0600-000007000000}">
      <text>
        <r>
          <rPr>
            <sz val="10"/>
            <color rgb="FF000000"/>
            <rFont val="Calibri"/>
            <scheme val="minor"/>
          </rPr>
          <t xml:space="preserve">-5C, szadź
</t>
        </r>
      </text>
    </comment>
    <comment ref="E15" authorId="0" shapeId="0" xr:uid="{00000000-0006-0000-0600-000008000000}">
      <text>
        <r>
          <rPr>
            <sz val="10"/>
            <color rgb="FF000000"/>
            <rFont val="Calibri"/>
            <scheme val="minor"/>
          </rPr>
          <t>podaj wartoć  współczynnika dla strefy
SI = 0,28 daN
SII = 0,42 daN
SIIa dla kabli średnicy &lt;12mm)
= 0,84 i 0,042</t>
        </r>
      </text>
    </comment>
    <comment ref="B19" authorId="0" shapeId="0" xr:uid="{00000000-0006-0000-0600-000009000000}">
      <text>
        <r>
          <rPr>
            <sz val="10"/>
            <color rgb="FF000000"/>
            <rFont val="Calibri"/>
            <scheme val="minor"/>
          </rPr>
          <t xml:space="preserve">średnica kabla mm
</t>
        </r>
      </text>
    </comment>
    <comment ref="B20" authorId="0" shapeId="0" xr:uid="{00000000-0006-0000-0600-00000A000000}">
      <text>
        <r>
          <rPr>
            <sz val="10"/>
            <color rgb="FF000000"/>
            <rFont val="Calibri"/>
            <scheme val="minor"/>
          </rPr>
          <t xml:space="preserve">ciężar jednostkowy m kabla w daN
</t>
        </r>
      </text>
    </comment>
    <comment ref="F20" authorId="0" shapeId="0" xr:uid="{00000000-0006-0000-0600-00000B000000}">
      <text>
        <r>
          <rPr>
            <sz val="10"/>
            <color rgb="FF000000"/>
            <rFont val="Calibri"/>
            <scheme val="minor"/>
          </rPr>
          <t>97kg/km</t>
        </r>
      </text>
    </comment>
    <comment ref="G20" authorId="0" shapeId="0" xr:uid="{00000000-0006-0000-0600-00000C000000}">
      <text>
        <r>
          <rPr>
            <sz val="10"/>
            <color rgb="FF000000"/>
            <rFont val="Calibri"/>
            <scheme val="minor"/>
          </rPr>
          <t>82kg/km</t>
        </r>
      </text>
    </comment>
    <comment ref="H20" authorId="0" shapeId="0" xr:uid="{00000000-0006-0000-0600-00000D000000}">
      <text>
        <r>
          <rPr>
            <sz val="10"/>
            <color rgb="FF000000"/>
            <rFont val="Calibri"/>
            <scheme val="minor"/>
          </rPr>
          <t>103kg/km</t>
        </r>
      </text>
    </comment>
    <comment ref="I20" authorId="0" shapeId="0" xr:uid="{00000000-0006-0000-0600-00000E000000}">
      <text>
        <r>
          <rPr>
            <sz val="10"/>
            <color rgb="FF000000"/>
            <rFont val="Calibri"/>
            <scheme val="minor"/>
          </rPr>
          <t xml:space="preserve">149kg/km
</t>
        </r>
      </text>
    </comment>
    <comment ref="J20" authorId="0" shapeId="0" xr:uid="{00000000-0006-0000-0600-00000F000000}">
      <text>
        <r>
          <rPr>
            <sz val="10"/>
            <color rgb="FF000000"/>
            <rFont val="Calibri"/>
            <scheme val="minor"/>
          </rPr>
          <t>7,8kg/km</t>
        </r>
      </text>
    </comment>
    <comment ref="K20" authorId="0" shapeId="0" xr:uid="{00000000-0006-0000-0600-000010000000}">
      <text>
        <r>
          <rPr>
            <sz val="10"/>
            <color rgb="FF000000"/>
            <rFont val="Calibri"/>
            <scheme val="minor"/>
          </rPr>
          <t>7,8kg/km</t>
        </r>
      </text>
    </comment>
    <comment ref="B21" authorId="0" shapeId="0" xr:uid="{00000000-0006-0000-0600-000011000000}">
      <text>
        <r>
          <rPr>
            <sz val="10"/>
            <color rgb="FF000000"/>
            <rFont val="Calibri"/>
            <scheme val="minor"/>
          </rPr>
          <t>ciężar szadzi (kG/m =daN/m) wg PN-E-5100-1
dla strefy SI , SIa =0,28+0,028*ds.
dla strefy SII, SIIa przy ds.&gt;12mm   = 0,42+0,042*ds.
dal strefy SIIa przy ds.&lt;12mm =0,82+0,042*ds</t>
        </r>
      </text>
    </comment>
    <comment ref="B23" authorId="0" shapeId="0" xr:uid="{00000000-0006-0000-0600-000012000000}">
      <text>
        <r>
          <rPr>
            <sz val="10"/>
            <color rgb="FF000000"/>
            <rFont val="Calibri"/>
            <scheme val="minor"/>
          </rPr>
          <t xml:space="preserve">przekrój linki nośnej
</t>
        </r>
      </text>
    </comment>
    <comment ref="C23" authorId="0" shapeId="0" xr:uid="{00000000-0006-0000-0600-000013000000}">
      <text>
        <r>
          <rPr>
            <sz val="10"/>
            <color rgb="FF000000"/>
            <rFont val="Calibri"/>
            <scheme val="minor"/>
          </rPr>
          <t>linka nośna 3mm</t>
        </r>
      </text>
    </comment>
    <comment ref="D23" authorId="0" shapeId="0" xr:uid="{00000000-0006-0000-0600-000014000000}">
      <text>
        <r>
          <rPr>
            <sz val="10"/>
            <color rgb="FF000000"/>
            <rFont val="Calibri"/>
            <scheme val="minor"/>
          </rPr>
          <t>linka nośna 3mm</t>
        </r>
      </text>
    </comment>
    <comment ref="E23" authorId="0" shapeId="0" xr:uid="{00000000-0006-0000-0600-000015000000}">
      <text>
        <r>
          <rPr>
            <sz val="10"/>
            <color rgb="FF000000"/>
            <rFont val="Calibri"/>
            <scheme val="minor"/>
          </rPr>
          <t>linka nośna 3mm</t>
        </r>
      </text>
    </comment>
    <comment ref="B24" authorId="0" shapeId="0" xr:uid="{00000000-0006-0000-0600-000016000000}">
      <text>
        <r>
          <rPr>
            <sz val="10"/>
            <color rgb="FF000000"/>
            <rFont val="Calibri"/>
            <scheme val="minor"/>
          </rPr>
          <t xml:space="preserve">ciężar przeliczeniowy (współczynnik obciążenia mechanicznego przewodu) z szadzią
=Gp+Gs/S
daN/mm2 </t>
        </r>
      </text>
    </comment>
    <comment ref="B25" authorId="0" shapeId="0" xr:uid="{00000000-0006-0000-0600-000017000000}">
      <text>
        <r>
          <rPr>
            <sz val="10"/>
            <color rgb="FF000000"/>
            <rFont val="Calibri"/>
            <scheme val="minor"/>
          </rPr>
          <t xml:space="preserve">n=a2*g/8*f
</t>
        </r>
      </text>
    </comment>
    <comment ref="B26" authorId="0" shapeId="0" xr:uid="{00000000-0006-0000-0600-000018000000}">
      <text>
        <r>
          <rPr>
            <sz val="10"/>
            <color rgb="FF000000"/>
            <rFont val="Calibri"/>
            <scheme val="minor"/>
          </rPr>
          <t xml:space="preserve">naciąg =S*n 
</t>
        </r>
      </text>
    </comment>
    <comment ref="B27" authorId="0" shapeId="0" xr:uid="{00000000-0006-0000-0600-000019000000}">
      <text>
        <r>
          <rPr>
            <sz val="10"/>
            <color rgb="FF000000"/>
            <rFont val="Calibri"/>
            <scheme val="minor"/>
          </rPr>
          <t xml:space="preserve"> ,sprowadzona metodą równych momentów
 z rzeczywistej wysokości zawieszenia </t>
        </r>
      </text>
    </comment>
    <comment ref="J28" authorId="0" shapeId="0" xr:uid="{00000000-0006-0000-0600-00001A000000}">
      <text>
        <r>
          <rPr>
            <sz val="10"/>
            <color rgb="FF000000"/>
            <rFont val="Calibri"/>
            <scheme val="minor"/>
          </rPr>
          <t xml:space="preserve">max 80daN
</t>
        </r>
      </text>
    </comment>
    <comment ref="K28" authorId="0" shapeId="0" xr:uid="{00000000-0006-0000-0600-00001B000000}">
      <text>
        <r>
          <rPr>
            <sz val="10"/>
            <color rgb="FF000000"/>
            <rFont val="Calibri"/>
            <scheme val="minor"/>
          </rPr>
          <t xml:space="preserve">max 80daN
</t>
        </r>
      </text>
    </comment>
  </commentList>
</comments>
</file>

<file path=xl/sharedStrings.xml><?xml version="1.0" encoding="utf-8"?>
<sst xmlns="http://schemas.openxmlformats.org/spreadsheetml/2006/main" count="1239" uniqueCount="618">
  <si>
    <t>Siły działające na słup</t>
  </si>
  <si>
    <t>Zamiana na wektor (LUW)</t>
  </si>
  <si>
    <t>Siła przewodu [daN]</t>
  </si>
  <si>
    <t>typ zawiesia</t>
  </si>
  <si>
    <t>siła od typu naciągu przewodów (wg zawiesia)</t>
  </si>
  <si>
    <t xml:space="preserve">Kąt[stopnie] </t>
  </si>
  <si>
    <t>Kąt [rad]</t>
  </si>
  <si>
    <t>sin kata</t>
  </si>
  <si>
    <r>
      <rPr>
        <b/>
        <sz val="10"/>
        <color rgb="FFFF0000"/>
        <rFont val="Arial CE"/>
      </rPr>
      <t>składowa osi słupa</t>
    </r>
    <r>
      <rPr>
        <b/>
        <sz val="10"/>
        <rFont val="Arial CE"/>
      </rPr>
      <t xml:space="preserve">
 słaba  = cos(</t>
    </r>
    <r>
      <rPr>
        <b/>
        <sz val="10"/>
        <rFont val="Symbol"/>
      </rPr>
      <t>a</t>
    </r>
    <r>
      <rPr>
        <b/>
        <sz val="10"/>
        <rFont val="Arial CE"/>
      </rPr>
      <t>)*siła</t>
    </r>
  </si>
  <si>
    <r>
      <rPr>
        <b/>
        <sz val="10"/>
        <color rgb="FFFF0000"/>
        <rFont val="Arial CE"/>
      </rPr>
      <t xml:space="preserve">składowa osi słupa
</t>
    </r>
    <r>
      <rPr>
        <b/>
        <sz val="10"/>
        <rFont val="Arial CE"/>
      </rPr>
      <t>mocna</t>
    </r>
    <r>
      <rPr>
        <b/>
        <sz val="10"/>
        <rFont val="Arial CE"/>
      </rPr>
      <t xml:space="preserve"> = sin(</t>
    </r>
    <r>
      <rPr>
        <b/>
        <sz val="10"/>
        <rFont val="Symbol"/>
      </rPr>
      <t>a)</t>
    </r>
    <r>
      <rPr>
        <b/>
        <sz val="10"/>
        <rFont val="Arial CE"/>
      </rPr>
      <t>*siła</t>
    </r>
  </si>
  <si>
    <t>|słaba|</t>
  </si>
  <si>
    <t>|mocna|</t>
  </si>
  <si>
    <t>F1a</t>
  </si>
  <si>
    <t>F2a</t>
  </si>
  <si>
    <t>F3a</t>
  </si>
  <si>
    <t>F4a</t>
  </si>
  <si>
    <t>F5a</t>
  </si>
  <si>
    <t>F6a</t>
  </si>
  <si>
    <t>F7a</t>
  </si>
  <si>
    <t>F8a</t>
  </si>
  <si>
    <t>F1b</t>
  </si>
  <si>
    <t>F2b</t>
  </si>
  <si>
    <t>F3b</t>
  </si>
  <si>
    <t>F4b</t>
  </si>
  <si>
    <t>F5b</t>
  </si>
  <si>
    <t>F6b</t>
  </si>
  <si>
    <t>F7b</t>
  </si>
  <si>
    <t>F8b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</si>
  <si>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</si>
  <si>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</si>
  <si>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</si>
  <si>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</si>
  <si>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</si>
  <si>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</si>
  <si>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</si>
  <si>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</si>
  <si>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</si>
  <si>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</si>
  <si>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</si>
  <si>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</si>
  <si>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</si>
  <si>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</si>
  <si>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</si>
  <si>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</si>
  <si>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</si>
  <si>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WYP_całkow</t>
  </si>
  <si>
    <t>sumaryczna wypadkowa dla osi słupa</t>
  </si>
  <si>
    <t>WYP_a&amp;b</t>
  </si>
  <si>
    <r>
      <rPr>
        <sz val="11"/>
        <rFont val="Arial"/>
      </rPr>
      <t>składowa N</t>
    </r>
    <r>
      <rPr>
        <vertAlign val="subscript"/>
        <sz val="11"/>
        <rFont val="Arial CE"/>
      </rPr>
      <t>pLg A&amp;B</t>
    </r>
    <r>
      <rPr>
        <sz val="11"/>
        <rFont val="Arial CE"/>
      </rPr>
      <t xml:space="preserve"> </t>
    </r>
    <r>
      <rPr>
        <b/>
        <sz val="11"/>
        <rFont val="Arial CE"/>
      </rPr>
      <t xml:space="preserve"> dla osi słupa</t>
    </r>
  </si>
  <si>
    <t>WYP_prz</t>
  </si>
  <si>
    <r>
      <rPr>
        <sz val="11"/>
        <rFont val="Arial"/>
      </rPr>
      <t>składowa Nr</t>
    </r>
    <r>
      <rPr>
        <b/>
        <sz val="11"/>
        <rFont val="Arial CE"/>
      </rPr>
      <t xml:space="preserve"> dla osi</t>
    </r>
    <r>
      <rPr>
        <sz val="11"/>
        <rFont val="Arial CE"/>
      </rPr>
      <t xml:space="preserve"> słupa</t>
    </r>
  </si>
  <si>
    <t>WYP_odg</t>
  </si>
  <si>
    <r>
      <rPr>
        <sz val="11"/>
        <rFont val="Arial"/>
      </rPr>
      <t>składowa Np</t>
    </r>
    <r>
      <rPr>
        <vertAlign val="subscript"/>
        <sz val="11"/>
        <rFont val="Arial CE"/>
      </rPr>
      <t>O</t>
    </r>
    <r>
      <rPr>
        <sz val="11"/>
        <rFont val="Arial CE"/>
      </rPr>
      <t xml:space="preserve"> dla osi </t>
    </r>
    <r>
      <rPr>
        <b/>
        <sz val="11"/>
        <rFont val="Arial CE"/>
      </rPr>
      <t>słupa</t>
    </r>
  </si>
  <si>
    <t>WYP_a</t>
  </si>
  <si>
    <r>
      <rPr>
        <sz val="11"/>
        <rFont val="Arial"/>
      </rPr>
      <t>składowa Np</t>
    </r>
    <r>
      <rPr>
        <vertAlign val="subscript"/>
        <sz val="11"/>
        <rFont val="Arial CE"/>
      </rPr>
      <t>Lg</t>
    </r>
    <r>
      <rPr>
        <sz val="11"/>
        <rFont val="Arial CE"/>
      </rPr>
      <t xml:space="preserve"> </t>
    </r>
    <r>
      <rPr>
        <b/>
        <sz val="11"/>
        <rFont val="Arial CE"/>
      </rPr>
      <t xml:space="preserve"> dla osi słupa</t>
    </r>
  </si>
  <si>
    <t>aaaaaaa</t>
  </si>
  <si>
    <t>skłądowa NPLG+NPO  naciągów dla słupa KK</t>
  </si>
  <si>
    <t>wartość siły wypadkowej</t>
  </si>
  <si>
    <t>kąt (rad)</t>
  </si>
  <si>
    <t>kąt (°)</t>
  </si>
  <si>
    <t>Wektor</t>
  </si>
  <si>
    <t>m</t>
  </si>
  <si>
    <t>daN</t>
  </si>
  <si>
    <t>RPK</t>
  </si>
  <si>
    <t>Przewody</t>
  </si>
  <si>
    <t>zawiesie (przelotowe / odciągowe)</t>
  </si>
  <si>
    <t>kąt siły</t>
  </si>
  <si>
    <t>Długość przęsła</t>
  </si>
  <si>
    <t>Zwis (+40)</t>
  </si>
  <si>
    <t>Naprężenie</t>
  </si>
  <si>
    <t>Naciąg F</t>
  </si>
  <si>
    <t>Obciążenie
 wiatrem</t>
  </si>
  <si>
    <t>Kier.</t>
  </si>
  <si>
    <t>Typ</t>
  </si>
  <si>
    <t>stopnie</t>
  </si>
  <si>
    <t>Mpa</t>
  </si>
  <si>
    <t>daN/m</t>
  </si>
  <si>
    <t>F1_a</t>
  </si>
  <si>
    <t xml:space="preserve">Lg1 </t>
  </si>
  <si>
    <t>AsXSn 4x120+2x25</t>
  </si>
  <si>
    <t>F2_a</t>
  </si>
  <si>
    <t>Lg2</t>
  </si>
  <si>
    <t>N</t>
  </si>
  <si>
    <t>F3_a</t>
  </si>
  <si>
    <t>Lg3</t>
  </si>
  <si>
    <t>proj</t>
  </si>
  <si>
    <t>F5_a</t>
  </si>
  <si>
    <t>Lg opto1</t>
  </si>
  <si>
    <t>ADSS 96J</t>
  </si>
  <si>
    <t>F6_a</t>
  </si>
  <si>
    <t>Lg opto2</t>
  </si>
  <si>
    <t>F7_a</t>
  </si>
  <si>
    <t>Lg opto3</t>
  </si>
  <si>
    <t>F8_a</t>
  </si>
  <si>
    <t>Lg opto4</t>
  </si>
  <si>
    <t>F1_b</t>
  </si>
  <si>
    <t>F2_b</t>
  </si>
  <si>
    <t>F3_b</t>
  </si>
  <si>
    <t>F4_b</t>
  </si>
  <si>
    <t>Lg4</t>
  </si>
  <si>
    <t>F5_b</t>
  </si>
  <si>
    <t>F6_b</t>
  </si>
  <si>
    <t>F7_b</t>
  </si>
  <si>
    <t>F8_b</t>
  </si>
  <si>
    <r>
      <rPr>
        <sz val="11"/>
        <rFont val="Czcionka tekstu podstawowego"/>
      </rPr>
      <t>Lo</t>
    </r>
    <r>
      <rPr>
        <vertAlign val="subscript"/>
        <sz val="11"/>
        <rFont val="Czcionka tekstu podstawowego"/>
      </rPr>
      <t>1</t>
    </r>
  </si>
  <si>
    <r>
      <rPr>
        <sz val="11"/>
        <rFont val="Czcionka tekstu podstawowego"/>
      </rPr>
      <t>Lo</t>
    </r>
    <r>
      <rPr>
        <vertAlign val="subscript"/>
        <sz val="11"/>
        <rFont val="Czcionka tekstu podstawowego"/>
      </rPr>
      <t>2</t>
    </r>
  </si>
  <si>
    <r>
      <rPr>
        <sz val="11"/>
        <rFont val="Czcionka tekstu podstawowego"/>
      </rPr>
      <t>Lot</t>
    </r>
    <r>
      <rPr>
        <vertAlign val="subscript"/>
        <sz val="11"/>
        <rFont val="Czcionka tekstu podstawowego"/>
      </rPr>
      <t>1</t>
    </r>
  </si>
  <si>
    <r>
      <rPr>
        <sz val="11"/>
        <rFont val="Czcionka tekstu podstawowego"/>
      </rPr>
      <t>Lo</t>
    </r>
    <r>
      <rPr>
        <vertAlign val="subscript"/>
        <sz val="11"/>
        <rFont val="Czcionka tekstu podstawowego"/>
      </rPr>
      <t>1</t>
    </r>
    <r>
      <rPr>
        <sz val="11"/>
        <rFont val="Czcionka tekstu podstawowego"/>
      </rPr>
      <t xml:space="preserve"> opto</t>
    </r>
  </si>
  <si>
    <r>
      <rPr>
        <sz val="11"/>
        <rFont val="Czcionka tekstu podstawowego"/>
      </rPr>
      <t>Lo</t>
    </r>
    <r>
      <rPr>
        <vertAlign val="subscript"/>
        <sz val="11"/>
        <rFont val="Czcionka tekstu podstawowego"/>
      </rPr>
      <t>2</t>
    </r>
    <r>
      <rPr>
        <sz val="11"/>
        <rFont val="Czcionka tekstu podstawowego"/>
      </rPr>
      <t xml:space="preserve"> opto</t>
    </r>
  </si>
  <si>
    <t>Pe1</t>
  </si>
  <si>
    <t>Pe2</t>
  </si>
  <si>
    <t>K</t>
  </si>
  <si>
    <t>Pe3</t>
  </si>
  <si>
    <t>Pe4</t>
  </si>
  <si>
    <t>Pt1</t>
  </si>
  <si>
    <t>Pt2</t>
  </si>
  <si>
    <t xml:space="preserve">Pt3 </t>
  </si>
  <si>
    <t>P1 opto</t>
  </si>
  <si>
    <t xml:space="preserve">P2 opto </t>
  </si>
  <si>
    <t>P3 opto</t>
  </si>
  <si>
    <t>P4 opto</t>
  </si>
  <si>
    <t>Nr słupa</t>
  </si>
  <si>
    <t>Typ słupa</t>
  </si>
  <si>
    <t>ŻN10</t>
  </si>
  <si>
    <t>Funkcja</t>
  </si>
  <si>
    <t>P</t>
  </si>
  <si>
    <t>Stacja</t>
  </si>
  <si>
    <r>
      <rPr>
        <sz val="12"/>
        <rFont val="Arial"/>
      </rPr>
      <t>siła składowej wypadkowej  naciagu przew. linii głownej N</t>
    </r>
    <r>
      <rPr>
        <vertAlign val="subscript"/>
        <sz val="12"/>
        <rFont val="Arial CE"/>
      </rPr>
      <t xml:space="preserve">px  </t>
    </r>
    <r>
      <rPr>
        <sz val="12"/>
        <rFont val="Arial CE"/>
      </rPr>
      <t>=</t>
    </r>
  </si>
  <si>
    <r>
      <rPr>
        <sz val="12"/>
        <rFont val="Arial"/>
      </rPr>
      <t>siła składowej wypadkowej  naciagu przew. linii głownej N</t>
    </r>
    <r>
      <rPr>
        <vertAlign val="subscript"/>
        <sz val="12"/>
        <rFont val="Arial CE"/>
      </rPr>
      <t xml:space="preserve">py   </t>
    </r>
    <r>
      <rPr>
        <sz val="12"/>
        <rFont val="Arial CE"/>
      </rPr>
      <t>=</t>
    </r>
  </si>
  <si>
    <r>
      <rPr>
        <sz val="12"/>
        <rFont val="Arial"/>
      </rPr>
      <t>siła składowej  wypadkowej naciągu przyłączy 0,2* N</t>
    </r>
    <r>
      <rPr>
        <vertAlign val="subscript"/>
        <sz val="12"/>
        <rFont val="Arial CE"/>
      </rPr>
      <t xml:space="preserve">rx   </t>
    </r>
    <r>
      <rPr>
        <sz val="12"/>
        <rFont val="Arial CE"/>
      </rPr>
      <t>=</t>
    </r>
  </si>
  <si>
    <r>
      <rPr>
        <sz val="12"/>
        <rFont val="Arial"/>
      </rPr>
      <t>siła składowej  wypadkowej naciągu przyłączy 0,2* N</t>
    </r>
    <r>
      <rPr>
        <vertAlign val="subscript"/>
        <sz val="12"/>
        <rFont val="Arial CE"/>
      </rPr>
      <t xml:space="preserve">ry   </t>
    </r>
    <r>
      <rPr>
        <sz val="12"/>
        <rFont val="Arial CE"/>
      </rPr>
      <t>=</t>
    </r>
  </si>
  <si>
    <r>
      <rPr>
        <sz val="12"/>
        <rFont val="Arial"/>
      </rPr>
      <t>obciążenie wiatrem słupa oś y   P</t>
    </r>
    <r>
      <rPr>
        <vertAlign val="subscript"/>
        <sz val="12"/>
        <rFont val="Arial CE"/>
      </rPr>
      <t>sy</t>
    </r>
    <r>
      <rPr>
        <sz val="12"/>
        <rFont val="Arial CE"/>
      </rPr>
      <t xml:space="preserve"> =</t>
    </r>
  </si>
  <si>
    <r>
      <rPr>
        <sz val="12"/>
        <rFont val="Arial"/>
      </rPr>
      <t>obciążenie wiatrem słupa oś x   P</t>
    </r>
    <r>
      <rPr>
        <vertAlign val="subscript"/>
        <sz val="12"/>
        <rFont val="Arial CE"/>
      </rPr>
      <t>sx</t>
    </r>
    <r>
      <rPr>
        <sz val="12"/>
        <rFont val="Arial CE"/>
      </rPr>
      <t xml:space="preserve"> =</t>
    </r>
  </si>
  <si>
    <r>
      <rPr>
        <sz val="12"/>
        <rFont val="Arial"/>
      </rPr>
      <t>obciążenie wiatrem gniazda bocianiego P</t>
    </r>
    <r>
      <rPr>
        <vertAlign val="subscript"/>
        <sz val="12"/>
        <rFont val="Arial CE"/>
      </rPr>
      <t>GB</t>
    </r>
    <r>
      <rPr>
        <sz val="12"/>
        <rFont val="Arial CE"/>
      </rPr>
      <t xml:space="preserve"> =</t>
    </r>
  </si>
  <si>
    <r>
      <rPr>
        <sz val="12"/>
        <rFont val="Arial"/>
      </rPr>
      <t>obciążenie wiatrem oprawy oświetleniowej P</t>
    </r>
    <r>
      <rPr>
        <vertAlign val="subscript"/>
        <sz val="12"/>
        <rFont val="Arial CE"/>
      </rPr>
      <t>oś</t>
    </r>
    <r>
      <rPr>
        <sz val="12"/>
        <rFont val="Arial CE"/>
      </rPr>
      <t xml:space="preserve"> =</t>
    </r>
  </si>
  <si>
    <t>Mały stelaż</t>
  </si>
  <si>
    <t>Mała mufa i mały stelaż</t>
  </si>
  <si>
    <t>Duża mufa i duży stelaż</t>
  </si>
  <si>
    <r>
      <rPr>
        <sz val="12"/>
        <rFont val="Arial"/>
      </rPr>
      <t>obciążenie wiatrem stelażu zapasu kabla z osprzętem   P</t>
    </r>
    <r>
      <rPr>
        <vertAlign val="subscript"/>
        <sz val="12"/>
        <rFont val="Arial CE"/>
      </rPr>
      <t>so</t>
    </r>
    <r>
      <rPr>
        <sz val="12"/>
        <rFont val="Arial CE"/>
      </rPr>
      <t xml:space="preserve"> =</t>
    </r>
  </si>
  <si>
    <t>Pso =</t>
  </si>
  <si>
    <r>
      <rPr>
        <sz val="10"/>
        <color rgb="FF0070C0"/>
        <rFont val="Arial"/>
      </rPr>
      <t xml:space="preserve">suma sił naciągu przewodów wszystkich torów </t>
    </r>
    <r>
      <rPr>
        <b/>
        <sz val="10"/>
        <color rgb="FF0070C0"/>
        <rFont val="Arial CE"/>
      </rPr>
      <t>N</t>
    </r>
    <r>
      <rPr>
        <b/>
        <vertAlign val="subscript"/>
        <sz val="10"/>
        <color rgb="FF0070C0"/>
        <rFont val="Arial CE"/>
      </rPr>
      <t>p</t>
    </r>
    <r>
      <rPr>
        <sz val="10"/>
        <color rgb="FF0070C0"/>
        <rFont val="Arial CE"/>
      </rPr>
      <t xml:space="preserve">  =</t>
    </r>
  </si>
  <si>
    <t>kąt doprowadzenia linii wzgl osi słupa  =</t>
  </si>
  <si>
    <t>Obliczenia wytrzymałości  słupa K krańcowego</t>
  </si>
  <si>
    <r>
      <rPr>
        <b/>
        <sz val="12"/>
        <rFont val="Arial"/>
      </rPr>
      <t xml:space="preserve">dla </t>
    </r>
    <r>
      <rPr>
        <b/>
        <sz val="12"/>
        <rFont val="Calibri"/>
      </rPr>
      <t xml:space="preserve">α Є (88˚…92˚;268˚…272˚):  </t>
    </r>
    <r>
      <rPr>
        <b/>
        <sz val="12"/>
        <rFont val="Arial CE"/>
      </rPr>
      <t>P</t>
    </r>
    <r>
      <rPr>
        <b/>
        <vertAlign val="subscript"/>
        <sz val="12"/>
        <rFont val="Arial CE"/>
      </rPr>
      <t>ux</t>
    </r>
    <r>
      <rPr>
        <b/>
        <sz val="12"/>
        <rFont val="Arial CE"/>
      </rPr>
      <t xml:space="preserve"> = N</t>
    </r>
    <r>
      <rPr>
        <b/>
        <vertAlign val="subscript"/>
        <sz val="12"/>
        <rFont val="Arial CE"/>
      </rPr>
      <t>p</t>
    </r>
    <r>
      <rPr>
        <b/>
        <sz val="12"/>
        <rFont val="Arial CE"/>
      </rPr>
      <t xml:space="preserve"> + </t>
    </r>
    <r>
      <rPr>
        <b/>
        <sz val="12"/>
        <rFont val="Calibri"/>
      </rPr>
      <t>|</t>
    </r>
    <r>
      <rPr>
        <b/>
        <sz val="12"/>
        <rFont val="Arial CE"/>
      </rPr>
      <t>N</t>
    </r>
    <r>
      <rPr>
        <b/>
        <vertAlign val="subscript"/>
        <sz val="12"/>
        <rFont val="Arial CE"/>
      </rPr>
      <t>rx</t>
    </r>
    <r>
      <rPr>
        <b/>
        <sz val="12"/>
        <rFont val="Arial CE"/>
      </rPr>
      <t xml:space="preserve"> </t>
    </r>
    <r>
      <rPr>
        <b/>
        <sz val="12"/>
        <rFont val="Calibri"/>
      </rPr>
      <t>|</t>
    </r>
    <r>
      <rPr>
        <b/>
        <sz val="12"/>
        <rFont val="Arial CE"/>
      </rPr>
      <t xml:space="preserve">
dla α poza (88˚…92˚;268˚…272˚):  Pux = |sin(α)*Np| + |Nrx |</t>
    </r>
  </si>
  <si>
    <r>
      <rPr>
        <b/>
        <sz val="12"/>
        <rFont val="Arial"/>
      </rPr>
      <t>dla α Є (88˚…92˚;268˚…272˚):  P</t>
    </r>
    <r>
      <rPr>
        <b/>
        <vertAlign val="subscript"/>
        <sz val="12"/>
        <rFont val="Arial CE"/>
      </rPr>
      <t>uy</t>
    </r>
    <r>
      <rPr>
        <b/>
        <sz val="12"/>
        <rFont val="Arial CE"/>
      </rPr>
      <t xml:space="preserve"> = </t>
    </r>
    <r>
      <rPr>
        <b/>
        <sz val="12"/>
        <rFont val="Calibri"/>
      </rPr>
      <t>|</t>
    </r>
    <r>
      <rPr>
        <b/>
        <sz val="12"/>
        <rFont val="Arial CE"/>
      </rPr>
      <t>N</t>
    </r>
    <r>
      <rPr>
        <b/>
        <vertAlign val="subscript"/>
        <sz val="12"/>
        <rFont val="Arial CE"/>
      </rPr>
      <t>ry</t>
    </r>
    <r>
      <rPr>
        <b/>
        <sz val="12"/>
        <rFont val="Calibri"/>
      </rPr>
      <t xml:space="preserve">| </t>
    </r>
    <r>
      <rPr>
        <b/>
        <sz val="12"/>
        <rFont val="Arial CE"/>
      </rPr>
      <t>+ P</t>
    </r>
    <r>
      <rPr>
        <b/>
        <vertAlign val="subscript"/>
        <sz val="12"/>
        <rFont val="Arial CE"/>
      </rPr>
      <t xml:space="preserve">sy </t>
    </r>
    <r>
      <rPr>
        <b/>
        <sz val="12"/>
        <rFont val="Arial CE"/>
      </rPr>
      <t>+ P</t>
    </r>
    <r>
      <rPr>
        <b/>
        <vertAlign val="subscript"/>
        <sz val="12"/>
        <rFont val="Arial CE"/>
      </rPr>
      <t>oś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so</t>
    </r>
    <r>
      <rPr>
        <b/>
        <sz val="12"/>
        <rFont val="Arial CE"/>
      </rPr>
      <t xml:space="preserve"> + P</t>
    </r>
    <r>
      <rPr>
        <b/>
        <vertAlign val="subscript"/>
        <sz val="10"/>
        <rFont val="Arial CE"/>
      </rPr>
      <t>GB</t>
    </r>
    <r>
      <rPr>
        <b/>
        <sz val="12"/>
        <rFont val="Arial CE"/>
      </rPr>
      <t xml:space="preserve">
dla α poza (88˚…92˚;268˚…272˚):  Puy = |cos(α)*N</t>
    </r>
    <r>
      <rPr>
        <b/>
        <vertAlign val="subscript"/>
        <sz val="12"/>
        <rFont val="Arial CE"/>
      </rPr>
      <t>p</t>
    </r>
    <r>
      <rPr>
        <b/>
        <sz val="12"/>
        <rFont val="Arial CE"/>
      </rPr>
      <t>| + |N</t>
    </r>
    <r>
      <rPr>
        <b/>
        <vertAlign val="subscript"/>
        <sz val="12"/>
        <rFont val="Arial CE"/>
      </rPr>
      <t>ry</t>
    </r>
    <r>
      <rPr>
        <b/>
        <sz val="12"/>
        <rFont val="Arial CE"/>
      </rPr>
      <t>| + P</t>
    </r>
    <r>
      <rPr>
        <b/>
        <vertAlign val="subscript"/>
        <sz val="12"/>
        <rFont val="Arial CE"/>
      </rPr>
      <t>sy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oś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so</t>
    </r>
    <r>
      <rPr>
        <b/>
        <sz val="12"/>
        <rFont val="Arial CE"/>
      </rPr>
      <t xml:space="preserve">  + P</t>
    </r>
    <r>
      <rPr>
        <b/>
        <vertAlign val="subscript"/>
        <sz val="12"/>
        <rFont val="Arial CE"/>
      </rPr>
      <t>GB</t>
    </r>
  </si>
  <si>
    <t xml:space="preserve"> </t>
  </si>
  <si>
    <r>
      <rPr>
        <sz val="10"/>
        <rFont val="Arial"/>
      </rPr>
      <t>Obliczona siła -  P</t>
    </r>
    <r>
      <rPr>
        <vertAlign val="subscript"/>
        <sz val="10"/>
        <rFont val="Arial CE"/>
      </rPr>
      <t>ux</t>
    </r>
    <r>
      <rPr>
        <sz val="10"/>
        <rFont val="Arial CE"/>
      </rPr>
      <t>=</t>
    </r>
  </si>
  <si>
    <t>dopuszczalna siła  Pdx =</t>
  </si>
  <si>
    <r>
      <rPr>
        <sz val="10"/>
        <rFont val="Arial"/>
      </rPr>
      <t>Obliczona siła -  P</t>
    </r>
    <r>
      <rPr>
        <vertAlign val="subscript"/>
        <sz val="10"/>
        <rFont val="Arial CE"/>
      </rPr>
      <t>uy</t>
    </r>
    <r>
      <rPr>
        <sz val="10"/>
        <rFont val="Arial CE"/>
      </rPr>
      <t>=</t>
    </r>
  </si>
  <si>
    <t>dopuszczalna siła  Pdy =</t>
  </si>
  <si>
    <t>Obliczona siła -  Pu=</t>
  </si>
  <si>
    <t>dopuszczalna siła  Pd słupa wirowanego =</t>
  </si>
  <si>
    <t>dla słupa wirowanego</t>
  </si>
  <si>
    <t>Pd ≥ Pu</t>
  </si>
  <si>
    <t>kąt załomu  ( α ) =</t>
  </si>
  <si>
    <r>
      <rPr>
        <sz val="10"/>
        <rFont val="Arial"/>
      </rPr>
      <t>suma sił naciągu przewodów wszystkich torów N</t>
    </r>
    <r>
      <rPr>
        <vertAlign val="subscript"/>
        <sz val="10"/>
        <rFont val="Arial CE"/>
      </rPr>
      <t>p</t>
    </r>
    <r>
      <rPr>
        <sz val="10"/>
        <rFont val="Arial CE"/>
      </rPr>
      <t xml:space="preserve">  =</t>
    </r>
  </si>
  <si>
    <t>Obliczenia wytrzymałości  słupa N narożnego</t>
  </si>
  <si>
    <r>
      <rPr>
        <b/>
        <sz val="12"/>
        <rFont val="Arial"/>
      </rPr>
      <t>P</t>
    </r>
    <r>
      <rPr>
        <b/>
        <vertAlign val="subscript"/>
        <sz val="12"/>
        <rFont val="Arial CE"/>
      </rPr>
      <t>ux</t>
    </r>
    <r>
      <rPr>
        <b/>
        <sz val="12"/>
        <rFont val="Arial CE"/>
      </rPr>
      <t xml:space="preserve"> = 2N</t>
    </r>
    <r>
      <rPr>
        <b/>
        <vertAlign val="subscript"/>
        <sz val="12"/>
        <rFont val="Arial CE"/>
      </rPr>
      <t>p</t>
    </r>
    <r>
      <rPr>
        <b/>
        <sz val="12"/>
        <rFont val="Arial CE"/>
      </rPr>
      <t xml:space="preserve"> * cos(</t>
    </r>
    <r>
      <rPr>
        <b/>
        <sz val="12"/>
        <rFont val="Calibri"/>
      </rPr>
      <t>α</t>
    </r>
    <r>
      <rPr>
        <b/>
        <sz val="12"/>
        <rFont val="Arial CE"/>
      </rPr>
      <t>/2) + P</t>
    </r>
    <r>
      <rPr>
        <b/>
        <vertAlign val="subscript"/>
        <sz val="12"/>
        <rFont val="Arial CE"/>
      </rPr>
      <t xml:space="preserve">oś 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so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sx</t>
    </r>
    <r>
      <rPr>
        <b/>
        <sz val="12"/>
        <rFont val="Arial CE"/>
      </rPr>
      <t xml:space="preserve"> + N</t>
    </r>
    <r>
      <rPr>
        <b/>
        <vertAlign val="subscript"/>
        <sz val="12"/>
        <rFont val="Arial CE"/>
      </rPr>
      <t>rx</t>
    </r>
  </si>
  <si>
    <r>
      <rPr>
        <b/>
        <sz val="12"/>
        <rFont val="Arial"/>
      </rPr>
      <t>P</t>
    </r>
    <r>
      <rPr>
        <b/>
        <vertAlign val="subscript"/>
        <sz val="12"/>
        <rFont val="Arial CE"/>
      </rPr>
      <t>uy</t>
    </r>
    <r>
      <rPr>
        <b/>
        <sz val="12"/>
        <rFont val="Arial CE"/>
      </rPr>
      <t xml:space="preserve"> = N</t>
    </r>
    <r>
      <rPr>
        <b/>
        <vertAlign val="subscript"/>
        <sz val="12"/>
        <rFont val="Arial CE"/>
      </rPr>
      <t>ry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 xml:space="preserve">sy </t>
    </r>
    <r>
      <rPr>
        <b/>
        <sz val="12"/>
        <rFont val="Arial CE"/>
      </rPr>
      <t>+ P</t>
    </r>
    <r>
      <rPr>
        <b/>
        <vertAlign val="subscript"/>
        <sz val="12"/>
        <rFont val="Arial CE"/>
      </rPr>
      <t>oś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so</t>
    </r>
  </si>
  <si>
    <r>
      <rPr>
        <sz val="10"/>
        <rFont val="Arial"/>
      </rPr>
      <t>Obliczona siła -  P</t>
    </r>
    <r>
      <rPr>
        <vertAlign val="subscript"/>
        <sz val="10"/>
        <rFont val="Arial CE"/>
      </rPr>
      <t>ux</t>
    </r>
    <r>
      <rPr>
        <sz val="10"/>
        <rFont val="Arial CE"/>
      </rPr>
      <t>=</t>
    </r>
  </si>
  <si>
    <t>dopuszczalna siła   Pdx =</t>
  </si>
  <si>
    <r>
      <rPr>
        <sz val="10"/>
        <rFont val="Arial"/>
      </rPr>
      <t>Obliczona siła -  P</t>
    </r>
    <r>
      <rPr>
        <vertAlign val="subscript"/>
        <sz val="10"/>
        <rFont val="Arial CE"/>
      </rPr>
      <t>uy</t>
    </r>
    <r>
      <rPr>
        <sz val="10"/>
        <rFont val="Arial CE"/>
      </rPr>
      <t>=</t>
    </r>
  </si>
  <si>
    <t>dopuszczalna siła   Pdy =</t>
  </si>
  <si>
    <t>Obliczona siła  Pu=</t>
  </si>
  <si>
    <t xml:space="preserve">dla słupa wirowanego        </t>
  </si>
  <si>
    <r>
      <rPr>
        <sz val="10"/>
        <rFont val="Arial"/>
      </rPr>
      <t>20% składowej  wypadkowej naciągu przyłączy  N</t>
    </r>
    <r>
      <rPr>
        <vertAlign val="subscript"/>
        <sz val="10"/>
        <rFont val="Arial CE"/>
      </rPr>
      <t>rx'</t>
    </r>
    <r>
      <rPr>
        <sz val="10"/>
        <rFont val="Arial CE"/>
      </rPr>
      <t xml:space="preserve"> =</t>
    </r>
  </si>
  <si>
    <t>0,2 * Nrx =</t>
  </si>
  <si>
    <r>
      <rPr>
        <sz val="10"/>
        <rFont val="Arial"/>
      </rPr>
      <t>20% składowej  wypadkowej naciągu przyłączy  N</t>
    </r>
    <r>
      <rPr>
        <vertAlign val="subscript"/>
        <sz val="10"/>
        <rFont val="Arial CE"/>
      </rPr>
      <t xml:space="preserve">ry' </t>
    </r>
    <r>
      <rPr>
        <sz val="10"/>
        <rFont val="Arial CE"/>
      </rPr>
      <t>=</t>
    </r>
  </si>
  <si>
    <t>0,2 * Nry =</t>
  </si>
  <si>
    <r>
      <rPr>
        <sz val="10"/>
        <rFont val="Arial"/>
      </rPr>
      <t>obciążenie wiatrem przewódów linii głównej   P</t>
    </r>
    <r>
      <rPr>
        <vertAlign val="subscript"/>
        <sz val="10"/>
        <rFont val="Arial CE"/>
      </rPr>
      <t>pg</t>
    </r>
    <r>
      <rPr>
        <sz val="10"/>
        <rFont val="Arial CE"/>
      </rPr>
      <t xml:space="preserve"> =      </t>
    </r>
  </si>
  <si>
    <r>
      <rPr>
        <sz val="10"/>
        <rFont val="Arial"/>
      </rPr>
      <t>obciążenie wiatrem przewodów linii odgałęźnej P</t>
    </r>
    <r>
      <rPr>
        <vertAlign val="subscript"/>
        <sz val="10"/>
        <rFont val="Arial CE"/>
      </rPr>
      <t>po</t>
    </r>
    <r>
      <rPr>
        <sz val="10"/>
        <rFont val="Arial CE"/>
      </rPr>
      <t xml:space="preserve"> =</t>
    </r>
  </si>
  <si>
    <t>Obliczenia wytrzymałości  słupa RPP rozgałęźny  przelotowo-przelotowy</t>
  </si>
  <si>
    <r>
      <rPr>
        <b/>
        <sz val="12"/>
        <rFont val="Arial"/>
      </rPr>
      <t>P</t>
    </r>
    <r>
      <rPr>
        <b/>
        <vertAlign val="subscript"/>
        <sz val="12"/>
        <rFont val="Arial CE"/>
      </rPr>
      <t>ux</t>
    </r>
    <r>
      <rPr>
        <b/>
        <sz val="12"/>
        <rFont val="Arial CE"/>
      </rPr>
      <t xml:space="preserve"> =P</t>
    </r>
    <r>
      <rPr>
        <b/>
        <vertAlign val="subscript"/>
        <sz val="12"/>
        <rFont val="Arial CE"/>
      </rPr>
      <t xml:space="preserve">pg </t>
    </r>
    <r>
      <rPr>
        <b/>
        <sz val="12"/>
        <rFont val="Arial CE"/>
      </rPr>
      <t>+ P</t>
    </r>
    <r>
      <rPr>
        <b/>
        <vertAlign val="subscript"/>
        <sz val="12"/>
        <rFont val="Arial CE"/>
      </rPr>
      <t>oś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sx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so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rx</t>
    </r>
    <r>
      <rPr>
        <b/>
        <sz val="12"/>
        <rFont val="Arial CE"/>
      </rPr>
      <t xml:space="preserve"> =</t>
    </r>
  </si>
  <si>
    <r>
      <rPr>
        <b/>
        <sz val="12"/>
        <rFont val="Arial"/>
      </rPr>
      <t>P</t>
    </r>
    <r>
      <rPr>
        <b/>
        <vertAlign val="subscript"/>
        <sz val="12"/>
        <rFont val="Arial CE"/>
      </rPr>
      <t>uy</t>
    </r>
    <r>
      <rPr>
        <b/>
        <sz val="12"/>
        <rFont val="Arial CE"/>
      </rPr>
      <t xml:space="preserve"> = P</t>
    </r>
    <r>
      <rPr>
        <b/>
        <vertAlign val="subscript"/>
        <sz val="12"/>
        <rFont val="Arial CE"/>
      </rPr>
      <t>po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oś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 xml:space="preserve">sy </t>
    </r>
    <r>
      <rPr>
        <b/>
        <sz val="12"/>
        <rFont val="Arial CE"/>
      </rPr>
      <t>+ P</t>
    </r>
    <r>
      <rPr>
        <b/>
        <vertAlign val="subscript"/>
        <sz val="12"/>
        <rFont val="Arial CE"/>
      </rPr>
      <t>so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ry</t>
    </r>
    <r>
      <rPr>
        <b/>
        <sz val="12"/>
        <rFont val="Arial CE"/>
      </rPr>
      <t xml:space="preserve"> =</t>
    </r>
  </si>
  <si>
    <r>
      <rPr>
        <sz val="10"/>
        <rFont val="Arial"/>
      </rPr>
      <t>Obliczona siła -  P</t>
    </r>
    <r>
      <rPr>
        <vertAlign val="subscript"/>
        <sz val="10"/>
        <rFont val="Arial CE"/>
      </rPr>
      <t>ux</t>
    </r>
    <r>
      <rPr>
        <sz val="10"/>
        <rFont val="Arial CE"/>
      </rPr>
      <t>=</t>
    </r>
  </si>
  <si>
    <r>
      <rPr>
        <sz val="10"/>
        <rFont val="Arial"/>
      </rPr>
      <t>Obliczona siła -  P</t>
    </r>
    <r>
      <rPr>
        <vertAlign val="subscript"/>
        <sz val="10"/>
        <rFont val="Arial CE"/>
      </rPr>
      <t>uy</t>
    </r>
    <r>
      <rPr>
        <sz val="10"/>
        <rFont val="Arial CE"/>
      </rPr>
      <t>=</t>
    </r>
  </si>
  <si>
    <t>Warunki sił -  Pux/Puy</t>
  </si>
  <si>
    <t>Pd ≥ Pux</t>
  </si>
  <si>
    <t>RPP</t>
  </si>
  <si>
    <t>Pd ≥ Puy</t>
  </si>
  <si>
    <r>
      <rPr>
        <sz val="10"/>
        <rFont val="Arial"/>
      </rPr>
      <t>obciążenie wiatrem linii głównej  P</t>
    </r>
    <r>
      <rPr>
        <vertAlign val="subscript"/>
        <sz val="10"/>
        <rFont val="Arial CE"/>
      </rPr>
      <t>pg</t>
    </r>
    <r>
      <rPr>
        <sz val="10"/>
        <rFont val="Arial CE"/>
      </rPr>
      <t xml:space="preserve"> =      </t>
    </r>
  </si>
  <si>
    <r>
      <rPr>
        <sz val="10"/>
        <rFont val="Arial"/>
      </rPr>
      <t>siła  naciagu przewodów linii odgałęźnej   N</t>
    </r>
    <r>
      <rPr>
        <vertAlign val="subscript"/>
        <sz val="10"/>
        <rFont val="Arial CE"/>
      </rPr>
      <t>po</t>
    </r>
    <r>
      <rPr>
        <sz val="10"/>
        <rFont val="Arial CE"/>
      </rPr>
      <t xml:space="preserve"> =</t>
    </r>
  </si>
  <si>
    <t>odchylenie do linii odgałęźnej  od prostopadłej do osi słupa   β  =</t>
  </si>
  <si>
    <t>wypadkowa sił naciągu torów linii odgałęźnej dla osi "słabej" słupa =</t>
  </si>
  <si>
    <t>wypadkowa sił naciągu torów linii odgałęźnej dla osi "mocnej" słupa =</t>
  </si>
  <si>
    <t>Obliczenia wytrzymałości  słupa RPK rozgałęźny przelotowo Lg -krańcowy Lo</t>
  </si>
  <si>
    <r>
      <rPr>
        <b/>
        <sz val="12"/>
        <rFont val="Arial"/>
      </rPr>
      <t>P</t>
    </r>
    <r>
      <rPr>
        <b/>
        <vertAlign val="subscript"/>
        <sz val="12"/>
        <rFont val="Arial CE"/>
      </rPr>
      <t>ux</t>
    </r>
    <r>
      <rPr>
        <b/>
        <sz val="12"/>
        <rFont val="Arial CE"/>
      </rPr>
      <t xml:space="preserve"> = sin(β) * N</t>
    </r>
    <r>
      <rPr>
        <b/>
        <vertAlign val="subscript"/>
        <sz val="12"/>
        <rFont val="Arial CE"/>
      </rPr>
      <t xml:space="preserve">po </t>
    </r>
    <r>
      <rPr>
        <b/>
        <sz val="12"/>
        <rFont val="Arial CE"/>
      </rPr>
      <t>+ P</t>
    </r>
    <r>
      <rPr>
        <b/>
        <vertAlign val="subscript"/>
        <sz val="12"/>
        <rFont val="Arial CE"/>
      </rPr>
      <t>pg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oś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so</t>
    </r>
    <r>
      <rPr>
        <b/>
        <sz val="12"/>
        <rFont val="Arial CE"/>
      </rPr>
      <t xml:space="preserve"> + N</t>
    </r>
    <r>
      <rPr>
        <b/>
        <vertAlign val="subscript"/>
        <sz val="12"/>
        <rFont val="Arial CE"/>
      </rPr>
      <t>rx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sx</t>
    </r>
    <r>
      <rPr>
        <b/>
        <sz val="12"/>
        <rFont val="Arial CE"/>
      </rPr>
      <t xml:space="preserve"> =</t>
    </r>
  </si>
  <si>
    <r>
      <rPr>
        <b/>
        <sz val="12"/>
        <rFont val="Arial"/>
      </rPr>
      <t>P</t>
    </r>
    <r>
      <rPr>
        <b/>
        <vertAlign val="subscript"/>
        <sz val="12"/>
        <rFont val="Arial CE"/>
      </rPr>
      <t>uy</t>
    </r>
    <r>
      <rPr>
        <b/>
        <sz val="12"/>
        <rFont val="Arial CE"/>
      </rPr>
      <t xml:space="preserve"> = cos(</t>
    </r>
    <r>
      <rPr>
        <b/>
        <sz val="12"/>
        <rFont val="Calibri"/>
      </rPr>
      <t>β</t>
    </r>
    <r>
      <rPr>
        <b/>
        <sz val="8"/>
        <rFont val="Arial CE"/>
      </rPr>
      <t xml:space="preserve">) * </t>
    </r>
    <r>
      <rPr>
        <b/>
        <sz val="12"/>
        <rFont val="Arial CE"/>
      </rPr>
      <t>N</t>
    </r>
    <r>
      <rPr>
        <b/>
        <vertAlign val="subscript"/>
        <sz val="12"/>
        <rFont val="Arial CE"/>
      </rPr>
      <t>PO</t>
    </r>
    <r>
      <rPr>
        <b/>
        <sz val="8"/>
        <rFont val="Arial CE"/>
      </rPr>
      <t xml:space="preserve"> + </t>
    </r>
    <r>
      <rPr>
        <b/>
        <sz val="12"/>
        <rFont val="Arial CE"/>
      </rPr>
      <t>P</t>
    </r>
    <r>
      <rPr>
        <b/>
        <vertAlign val="subscript"/>
        <sz val="12"/>
        <rFont val="Arial CE"/>
      </rPr>
      <t>oś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so</t>
    </r>
    <r>
      <rPr>
        <b/>
        <sz val="12"/>
        <rFont val="Arial CE"/>
      </rPr>
      <t xml:space="preserve"> + N</t>
    </r>
    <r>
      <rPr>
        <b/>
        <vertAlign val="subscript"/>
        <sz val="12"/>
        <rFont val="Arial CE"/>
      </rPr>
      <t>ry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 xml:space="preserve">sy </t>
    </r>
    <r>
      <rPr>
        <b/>
        <sz val="12"/>
        <rFont val="Arial CE"/>
      </rPr>
      <t xml:space="preserve"> =</t>
    </r>
  </si>
  <si>
    <r>
      <rPr>
        <sz val="10"/>
        <rFont val="Arial"/>
      </rPr>
      <t>Obliczona siła -  P</t>
    </r>
    <r>
      <rPr>
        <vertAlign val="subscript"/>
        <sz val="10"/>
        <rFont val="Arial CE"/>
      </rPr>
      <t>ux</t>
    </r>
    <r>
      <rPr>
        <sz val="10"/>
        <rFont val="Arial CE"/>
      </rPr>
      <t>=</t>
    </r>
  </si>
  <si>
    <r>
      <rPr>
        <sz val="10"/>
        <rFont val="Arial"/>
      </rPr>
      <t>Obliczona siła -  P</t>
    </r>
    <r>
      <rPr>
        <vertAlign val="subscript"/>
        <sz val="10"/>
        <rFont val="Arial CE"/>
      </rPr>
      <t>uy</t>
    </r>
    <r>
      <rPr>
        <sz val="10"/>
        <rFont val="Arial CE"/>
      </rPr>
      <t>=</t>
    </r>
  </si>
  <si>
    <r>
      <rPr>
        <sz val="10"/>
        <rFont val="Arial CE"/>
      </rPr>
      <t xml:space="preserve">siła (wypadkowa) naciagu przewodów linii odgałęźnych </t>
    </r>
    <r>
      <rPr>
        <sz val="12"/>
        <rFont val="Arial CE"/>
      </rPr>
      <t xml:space="preserve">  N</t>
    </r>
    <r>
      <rPr>
        <vertAlign val="subscript"/>
        <sz val="12"/>
        <rFont val="Arial CE"/>
      </rPr>
      <t>po1</t>
    </r>
    <r>
      <rPr>
        <sz val="12"/>
        <rFont val="Arial CE"/>
      </rPr>
      <t xml:space="preserve"> =</t>
    </r>
  </si>
  <si>
    <t>kąt załomu linii głównej  α  =</t>
  </si>
  <si>
    <r>
      <rPr>
        <sz val="10"/>
        <rFont val="Arial"/>
      </rPr>
      <t xml:space="preserve">kąt (wypadkowy) odejścia linii odgałęźnych  </t>
    </r>
    <r>
      <rPr>
        <sz val="10"/>
        <rFont val="Calibri"/>
      </rPr>
      <t>β</t>
    </r>
    <r>
      <rPr>
        <sz val="6"/>
        <rFont val="Arial CE"/>
      </rPr>
      <t xml:space="preserve">  </t>
    </r>
    <r>
      <rPr>
        <sz val="10"/>
        <rFont val="Arial CE"/>
      </rPr>
      <t>=</t>
    </r>
  </si>
  <si>
    <r>
      <rPr>
        <sz val="10"/>
        <rFont val="Arial"/>
      </rPr>
      <t>naciąg przewodów lini głównej  N</t>
    </r>
    <r>
      <rPr>
        <vertAlign val="subscript"/>
        <sz val="10"/>
        <rFont val="Arial CE"/>
      </rPr>
      <t>p</t>
    </r>
    <r>
      <rPr>
        <sz val="10"/>
        <rFont val="Arial CE"/>
      </rPr>
      <t xml:space="preserve">  =</t>
    </r>
  </si>
  <si>
    <t>Obliczenia wytrzymałości  słupa RNK rozgałęźny narożno Lg -krańcowy Lo</t>
  </si>
  <si>
    <r>
      <rPr>
        <b/>
        <sz val="12"/>
        <rFont val="Arial"/>
      </rPr>
      <t>linia główna     P</t>
    </r>
    <r>
      <rPr>
        <b/>
        <vertAlign val="subscript"/>
        <sz val="12"/>
        <rFont val="Arial CE"/>
      </rPr>
      <t>uxg</t>
    </r>
    <r>
      <rPr>
        <b/>
        <sz val="12"/>
        <rFont val="Arial CE"/>
      </rPr>
      <t xml:space="preserve"> =2N</t>
    </r>
    <r>
      <rPr>
        <b/>
        <vertAlign val="subscript"/>
        <sz val="12"/>
        <rFont val="Arial CE"/>
      </rPr>
      <t>p</t>
    </r>
    <r>
      <rPr>
        <b/>
        <sz val="12"/>
        <rFont val="Arial CE"/>
      </rPr>
      <t xml:space="preserve"> * cos(</t>
    </r>
    <r>
      <rPr>
        <b/>
        <sz val="12"/>
        <rFont val="Calibri"/>
      </rPr>
      <t>α</t>
    </r>
    <r>
      <rPr>
        <b/>
        <sz val="12"/>
        <rFont val="Arial CE"/>
      </rPr>
      <t>/2) + P</t>
    </r>
    <r>
      <rPr>
        <b/>
        <vertAlign val="subscript"/>
        <sz val="12"/>
        <rFont val="Arial CE"/>
      </rPr>
      <t>oś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so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sx</t>
    </r>
    <r>
      <rPr>
        <b/>
        <sz val="12"/>
        <rFont val="Arial CE"/>
      </rPr>
      <t xml:space="preserve"> + N</t>
    </r>
    <r>
      <rPr>
        <b/>
        <vertAlign val="subscript"/>
        <sz val="12"/>
        <rFont val="Arial CE"/>
      </rPr>
      <t>rx</t>
    </r>
    <r>
      <rPr>
        <b/>
        <sz val="12"/>
        <rFont val="Arial CE"/>
      </rPr>
      <t xml:space="preserve"> =</t>
    </r>
  </si>
  <si>
    <r>
      <rPr>
        <b/>
        <sz val="12"/>
        <rFont val="Arial"/>
      </rPr>
      <t>funkcja krańcowa     P</t>
    </r>
    <r>
      <rPr>
        <b/>
        <vertAlign val="subscript"/>
        <sz val="12"/>
        <rFont val="Arial CE"/>
      </rPr>
      <t>uxo</t>
    </r>
    <r>
      <rPr>
        <b/>
        <sz val="12"/>
        <rFont val="Arial CE"/>
      </rPr>
      <t xml:space="preserve"> = </t>
    </r>
    <r>
      <rPr>
        <b/>
        <sz val="12"/>
        <rFont val="Calibri"/>
      </rPr>
      <t>|</t>
    </r>
    <r>
      <rPr>
        <b/>
        <sz val="12"/>
        <rFont val="Arial CE"/>
      </rPr>
      <t>sin(B)*N</t>
    </r>
    <r>
      <rPr>
        <b/>
        <vertAlign val="subscript"/>
        <sz val="12"/>
        <rFont val="Arial CE"/>
      </rPr>
      <t>po</t>
    </r>
    <r>
      <rPr>
        <b/>
        <sz val="12"/>
        <rFont val="Arial CE"/>
      </rPr>
      <t>| + P</t>
    </r>
    <r>
      <rPr>
        <b/>
        <vertAlign val="subscript"/>
        <sz val="12"/>
        <rFont val="Arial CE"/>
      </rPr>
      <t>oś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so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sx</t>
    </r>
    <r>
      <rPr>
        <b/>
        <sz val="12"/>
        <rFont val="Arial CE"/>
      </rPr>
      <t xml:space="preserve"> + N</t>
    </r>
    <r>
      <rPr>
        <b/>
        <vertAlign val="subscript"/>
        <sz val="12"/>
        <rFont val="Arial CE"/>
      </rPr>
      <t>rx</t>
    </r>
    <r>
      <rPr>
        <b/>
        <sz val="12"/>
        <rFont val="Arial CE"/>
      </rPr>
      <t xml:space="preserve"> =</t>
    </r>
  </si>
  <si>
    <r>
      <rPr>
        <b/>
        <sz val="12"/>
        <rFont val="Arial"/>
      </rPr>
      <t>P</t>
    </r>
    <r>
      <rPr>
        <b/>
        <vertAlign val="subscript"/>
        <sz val="12"/>
        <rFont val="Arial CE"/>
      </rPr>
      <t>uy</t>
    </r>
    <r>
      <rPr>
        <b/>
        <sz val="12"/>
        <rFont val="Arial CE"/>
      </rPr>
      <t xml:space="preserve"> = </t>
    </r>
    <r>
      <rPr>
        <b/>
        <sz val="12"/>
        <rFont val="Calibri"/>
      </rPr>
      <t>|</t>
    </r>
    <r>
      <rPr>
        <b/>
        <sz val="12"/>
        <rFont val="Arial CE"/>
      </rPr>
      <t xml:space="preserve">cos </t>
    </r>
    <r>
      <rPr>
        <b/>
        <sz val="12"/>
        <rFont val="Calibri"/>
      </rPr>
      <t>β</t>
    </r>
    <r>
      <rPr>
        <b/>
        <sz val="7"/>
        <rFont val="Arial CE"/>
      </rPr>
      <t xml:space="preserve"> *</t>
    </r>
    <r>
      <rPr>
        <sz val="10"/>
        <rFont val="Arial CE"/>
      </rPr>
      <t xml:space="preserve"> </t>
    </r>
    <r>
      <rPr>
        <sz val="12"/>
        <rFont val="Arial CE"/>
      </rPr>
      <t>N</t>
    </r>
    <r>
      <rPr>
        <vertAlign val="subscript"/>
        <sz val="12"/>
        <rFont val="Arial CE"/>
      </rPr>
      <t>po</t>
    </r>
    <r>
      <rPr>
        <sz val="12"/>
        <rFont val="Arial CE"/>
      </rPr>
      <t>|</t>
    </r>
    <r>
      <rPr>
        <sz val="10"/>
        <rFont val="Arial CE"/>
      </rPr>
      <t xml:space="preserve"> </t>
    </r>
    <r>
      <rPr>
        <b/>
        <sz val="7"/>
        <rFont val="Arial CE"/>
      </rPr>
      <t xml:space="preserve">+ </t>
    </r>
    <r>
      <rPr>
        <b/>
        <sz val="12"/>
        <rFont val="Arial CE"/>
      </rPr>
      <t>N</t>
    </r>
    <r>
      <rPr>
        <b/>
        <vertAlign val="subscript"/>
        <sz val="12"/>
        <rFont val="Arial CE"/>
      </rPr>
      <t>ry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 xml:space="preserve">sy </t>
    </r>
    <r>
      <rPr>
        <b/>
        <sz val="12"/>
        <rFont val="Arial CE"/>
      </rPr>
      <t>+ P</t>
    </r>
    <r>
      <rPr>
        <b/>
        <vertAlign val="subscript"/>
        <sz val="12"/>
        <rFont val="Arial CE"/>
      </rPr>
      <t>oś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so</t>
    </r>
    <r>
      <rPr>
        <b/>
        <sz val="12"/>
        <rFont val="Arial CE"/>
      </rPr>
      <t xml:space="preserve"> =</t>
    </r>
  </si>
  <si>
    <r>
      <rPr>
        <sz val="10"/>
        <rFont val="Arial"/>
      </rPr>
      <t>Obliczona siła -  P</t>
    </r>
    <r>
      <rPr>
        <vertAlign val="subscript"/>
        <sz val="10"/>
        <rFont val="Arial CE"/>
      </rPr>
      <t>ux</t>
    </r>
    <r>
      <rPr>
        <sz val="10"/>
        <rFont val="Arial CE"/>
      </rPr>
      <t>=</t>
    </r>
  </si>
  <si>
    <r>
      <rPr>
        <sz val="10"/>
        <rFont val="Arial"/>
      </rPr>
      <t>Obliczona siła -  P</t>
    </r>
    <r>
      <rPr>
        <vertAlign val="subscript"/>
        <sz val="10"/>
        <rFont val="Arial CE"/>
      </rPr>
      <t>uy</t>
    </r>
    <r>
      <rPr>
        <sz val="10"/>
        <rFont val="Arial CE"/>
      </rPr>
      <t>=</t>
    </r>
  </si>
  <si>
    <t>RNK</t>
  </si>
  <si>
    <t>Obliczona siła wypadkowa  Pu =</t>
  </si>
  <si>
    <t>Pd ≥ Puxg</t>
  </si>
  <si>
    <r>
      <rPr>
        <sz val="10"/>
        <rFont val="Arial"/>
      </rPr>
      <t>obciążenie wiatrem przewodów linii  P</t>
    </r>
    <r>
      <rPr>
        <vertAlign val="subscript"/>
        <sz val="10"/>
        <rFont val="Arial CE"/>
      </rPr>
      <t>p</t>
    </r>
    <r>
      <rPr>
        <sz val="10"/>
        <rFont val="Arial CE"/>
      </rPr>
      <t xml:space="preserve"> =      </t>
    </r>
  </si>
  <si>
    <r>
      <rPr>
        <sz val="10"/>
        <rFont val="Arial"/>
      </rPr>
      <t>suma nacią</t>
    </r>
    <r>
      <rPr>
        <sz val="10"/>
        <rFont val="Arial"/>
      </rPr>
      <t>gu przewodów z zawiesiami odciągowymi N</t>
    </r>
    <r>
      <rPr>
        <vertAlign val="subscript"/>
        <sz val="10"/>
        <rFont val="Arial CE"/>
      </rPr>
      <t>p</t>
    </r>
    <r>
      <rPr>
        <sz val="10"/>
        <rFont val="Arial CE"/>
      </rPr>
      <t xml:space="preserve"> =</t>
    </r>
  </si>
  <si>
    <t>Obliczenia wytrzymałości   słupa O odporowy</t>
  </si>
  <si>
    <r>
      <rPr>
        <b/>
        <sz val="12"/>
        <rFont val="Arial"/>
      </rPr>
      <t>dla sił naciągu podstawowego równych:   P</t>
    </r>
    <r>
      <rPr>
        <b/>
        <vertAlign val="subscript"/>
        <sz val="12"/>
        <rFont val="Arial CE"/>
      </rPr>
      <t>ux</t>
    </r>
    <r>
      <rPr>
        <b/>
        <sz val="12"/>
        <rFont val="Arial CE"/>
      </rPr>
      <t xml:space="preserve"> = 2/3 * N</t>
    </r>
    <r>
      <rPr>
        <b/>
        <vertAlign val="subscript"/>
        <sz val="12"/>
        <rFont val="Arial CE"/>
      </rPr>
      <t>p</t>
    </r>
    <r>
      <rPr>
        <b/>
        <sz val="12"/>
        <rFont val="Arial CE"/>
      </rPr>
      <t xml:space="preserve"> + N</t>
    </r>
    <r>
      <rPr>
        <b/>
        <vertAlign val="subscript"/>
        <sz val="12"/>
        <rFont val="Arial CE"/>
      </rPr>
      <t>rx</t>
    </r>
    <r>
      <rPr>
        <b/>
        <sz val="12"/>
        <rFont val="Arial CE"/>
      </rPr>
      <t xml:space="preserve"> = </t>
    </r>
  </si>
  <si>
    <r>
      <rPr>
        <b/>
        <sz val="12"/>
        <rFont val="Arial"/>
      </rPr>
      <t>P</t>
    </r>
    <r>
      <rPr>
        <b/>
        <vertAlign val="subscript"/>
        <sz val="12"/>
        <rFont val="Arial CE"/>
      </rPr>
      <t>uy</t>
    </r>
    <r>
      <rPr>
        <b/>
        <sz val="12"/>
        <rFont val="Arial CE"/>
      </rPr>
      <t xml:space="preserve"> = cos</t>
    </r>
    <r>
      <rPr>
        <b/>
        <sz val="12"/>
        <rFont val="Arial"/>
      </rPr>
      <t xml:space="preserve"> (α/2</t>
    </r>
    <r>
      <rPr>
        <b/>
        <sz val="8"/>
        <rFont val="Arial CE"/>
      </rPr>
      <t>) *</t>
    </r>
    <r>
      <rPr>
        <b/>
        <sz val="12"/>
        <rFont val="Arial CE"/>
      </rPr>
      <t xml:space="preserve"> Np </t>
    </r>
    <r>
      <rPr>
        <b/>
        <sz val="8"/>
        <rFont val="Arial CE"/>
      </rPr>
      <t xml:space="preserve">+ </t>
    </r>
    <r>
      <rPr>
        <b/>
        <sz val="12"/>
        <rFont val="Arial CE"/>
      </rPr>
      <t>P</t>
    </r>
    <r>
      <rPr>
        <b/>
        <vertAlign val="subscript"/>
        <sz val="12"/>
        <rFont val="Arial CE"/>
      </rPr>
      <t>p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 xml:space="preserve">sy </t>
    </r>
    <r>
      <rPr>
        <b/>
        <sz val="12"/>
        <rFont val="Arial CE"/>
      </rPr>
      <t>+ P</t>
    </r>
    <r>
      <rPr>
        <b/>
        <vertAlign val="subscript"/>
        <sz val="12"/>
        <rFont val="Arial CE"/>
      </rPr>
      <t xml:space="preserve">o </t>
    </r>
    <r>
      <rPr>
        <b/>
        <sz val="12"/>
        <rFont val="Arial CE"/>
      </rPr>
      <t>+ P</t>
    </r>
    <r>
      <rPr>
        <b/>
        <vertAlign val="subscript"/>
        <sz val="12"/>
        <rFont val="Arial CE"/>
      </rPr>
      <t>so</t>
    </r>
    <r>
      <rPr>
        <b/>
        <sz val="12"/>
        <rFont val="Arial CE"/>
      </rPr>
      <t xml:space="preserve"> + N</t>
    </r>
    <r>
      <rPr>
        <b/>
        <vertAlign val="subscript"/>
        <sz val="12"/>
        <rFont val="Arial CE"/>
      </rPr>
      <t>ry</t>
    </r>
    <r>
      <rPr>
        <b/>
        <sz val="12"/>
        <rFont val="Arial CE"/>
      </rPr>
      <t xml:space="preserve"> =</t>
    </r>
  </si>
  <si>
    <r>
      <rPr>
        <sz val="10"/>
        <rFont val="Arial"/>
      </rPr>
      <t>Obliczona siła -  P</t>
    </r>
    <r>
      <rPr>
        <vertAlign val="subscript"/>
        <sz val="10"/>
        <rFont val="Arial CE"/>
      </rPr>
      <t>ux</t>
    </r>
    <r>
      <rPr>
        <sz val="10"/>
        <rFont val="Arial CE"/>
      </rPr>
      <t>=</t>
    </r>
  </si>
  <si>
    <r>
      <rPr>
        <sz val="10"/>
        <rFont val="Arial"/>
      </rPr>
      <t>Obliczona siła -  P</t>
    </r>
    <r>
      <rPr>
        <vertAlign val="subscript"/>
        <sz val="10"/>
        <rFont val="Arial CE"/>
      </rPr>
      <t>uy</t>
    </r>
    <r>
      <rPr>
        <sz val="10"/>
        <rFont val="Arial CE"/>
      </rPr>
      <t>=</t>
    </r>
  </si>
  <si>
    <t>Obliczona siła   Pu =</t>
  </si>
  <si>
    <t>dla słupa wirowanego   Pz =</t>
  </si>
  <si>
    <t>O</t>
  </si>
  <si>
    <r>
      <rPr>
        <sz val="10"/>
        <rFont val="Arial"/>
      </rPr>
      <t xml:space="preserve">20% składowej  naciągu przyłączy </t>
    </r>
    <r>
      <rPr>
        <sz val="10"/>
        <rFont val="Arial"/>
      </rPr>
      <t>prostopadłej do linii    P</t>
    </r>
    <r>
      <rPr>
        <vertAlign val="subscript"/>
        <sz val="10"/>
        <rFont val="Arial CE"/>
      </rPr>
      <t xml:space="preserve">r </t>
    </r>
    <r>
      <rPr>
        <sz val="10"/>
        <rFont val="Arial CE"/>
      </rPr>
      <t>=</t>
    </r>
  </si>
  <si>
    <r>
      <rPr>
        <sz val="10"/>
        <rFont val="Arial"/>
      </rPr>
      <t>obciążenie wiatrem przewodów   P</t>
    </r>
    <r>
      <rPr>
        <vertAlign val="subscript"/>
        <sz val="10"/>
        <rFont val="Arial CE"/>
      </rPr>
      <t>wp</t>
    </r>
    <r>
      <rPr>
        <sz val="10"/>
        <rFont val="Arial CE"/>
      </rPr>
      <t xml:space="preserve"> =      </t>
    </r>
  </si>
  <si>
    <t>Obliczenia wytrzymałości   słupa P przelotowego</t>
  </si>
  <si>
    <r>
      <rPr>
        <b/>
        <sz val="12"/>
        <rFont val="Arial"/>
      </rPr>
      <t>P</t>
    </r>
    <r>
      <rPr>
        <b/>
        <vertAlign val="subscript"/>
        <sz val="12"/>
        <rFont val="Arial CE"/>
      </rPr>
      <t>ux</t>
    </r>
    <r>
      <rPr>
        <b/>
        <sz val="12"/>
        <rFont val="Arial CE"/>
      </rPr>
      <t xml:space="preserve"> =  P</t>
    </r>
    <r>
      <rPr>
        <b/>
        <vertAlign val="subscript"/>
        <sz val="12"/>
        <rFont val="Arial CE"/>
      </rPr>
      <t>wp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oś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so</t>
    </r>
    <r>
      <rPr>
        <b/>
        <sz val="12"/>
        <rFont val="Arial CE"/>
      </rPr>
      <t xml:space="preserve">  + N</t>
    </r>
    <r>
      <rPr>
        <b/>
        <vertAlign val="subscript"/>
        <sz val="12"/>
        <rFont val="Arial CE"/>
      </rPr>
      <t>rx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 xml:space="preserve">sx </t>
    </r>
    <r>
      <rPr>
        <b/>
        <sz val="12"/>
        <rFont val="Arial CE"/>
      </rPr>
      <t>=</t>
    </r>
  </si>
  <si>
    <r>
      <rPr>
        <b/>
        <sz val="12"/>
        <rFont val="Arial"/>
      </rPr>
      <t>P</t>
    </r>
    <r>
      <rPr>
        <b/>
        <vertAlign val="subscript"/>
        <sz val="12"/>
        <rFont val="Arial CE"/>
      </rPr>
      <t>uy</t>
    </r>
    <r>
      <rPr>
        <b/>
        <sz val="12"/>
        <rFont val="Arial CE"/>
      </rPr>
      <t xml:space="preserve"> = P</t>
    </r>
    <r>
      <rPr>
        <b/>
        <vertAlign val="subscript"/>
        <sz val="12"/>
        <rFont val="Arial CE"/>
      </rPr>
      <t xml:space="preserve">sy 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oś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so</t>
    </r>
    <r>
      <rPr>
        <b/>
        <sz val="12"/>
        <rFont val="Arial CE"/>
      </rPr>
      <t xml:space="preserve"> =</t>
    </r>
  </si>
  <si>
    <r>
      <rPr>
        <sz val="10"/>
        <rFont val="Arial"/>
      </rPr>
      <t>Obliczona siła -  P</t>
    </r>
    <r>
      <rPr>
        <vertAlign val="subscript"/>
        <sz val="10"/>
        <rFont val="Arial CE"/>
      </rPr>
      <t>ux</t>
    </r>
    <r>
      <rPr>
        <sz val="10"/>
        <rFont val="Arial CE"/>
      </rPr>
      <t>=</t>
    </r>
  </si>
  <si>
    <r>
      <rPr>
        <sz val="10"/>
        <rFont val="Arial"/>
      </rPr>
      <t>Obliczona siła -  P</t>
    </r>
    <r>
      <rPr>
        <vertAlign val="subscript"/>
        <sz val="10"/>
        <rFont val="Arial CE"/>
      </rPr>
      <t>uy</t>
    </r>
    <r>
      <rPr>
        <sz val="10"/>
        <rFont val="Arial CE"/>
      </rPr>
      <t>=</t>
    </r>
  </si>
  <si>
    <r>
      <rPr>
        <sz val="10"/>
        <color rgb="FF0070C0"/>
        <rFont val="Arial"/>
      </rPr>
      <t xml:space="preserve">suma sił naciągu przewodów wszystkich torów linii głównej </t>
    </r>
    <r>
      <rPr>
        <b/>
        <sz val="10"/>
        <color rgb="FF0070C0"/>
        <rFont val="Arial CE"/>
      </rPr>
      <t>N</t>
    </r>
    <r>
      <rPr>
        <b/>
        <vertAlign val="subscript"/>
        <sz val="10"/>
        <color rgb="FF0070C0"/>
        <rFont val="Arial CE"/>
      </rPr>
      <t>p</t>
    </r>
    <r>
      <rPr>
        <sz val="10"/>
        <color rgb="FF0070C0"/>
        <rFont val="Arial CE"/>
      </rPr>
      <t xml:space="preserve">  =</t>
    </r>
  </si>
  <si>
    <r>
      <rPr>
        <sz val="10"/>
        <color rgb="FF0070C0"/>
        <rFont val="Arial"/>
      </rPr>
      <t xml:space="preserve">kąt doprowadzenia linii głównej wzgl osi  słupa </t>
    </r>
    <r>
      <rPr>
        <sz val="10"/>
        <color rgb="FF0070C0"/>
        <rFont val="Calibri"/>
      </rPr>
      <t>α</t>
    </r>
    <r>
      <rPr>
        <sz val="6"/>
        <color rgb="FF0070C0"/>
        <rFont val="Arial CE"/>
      </rPr>
      <t xml:space="preserve"> </t>
    </r>
    <r>
      <rPr>
        <sz val="10"/>
        <color rgb="FF0070C0"/>
        <rFont val="Arial CE"/>
      </rPr>
      <t>=</t>
    </r>
  </si>
  <si>
    <r>
      <rPr>
        <sz val="10"/>
        <color rgb="FF0070C0"/>
        <rFont val="Arial"/>
      </rPr>
      <t xml:space="preserve">suma sił naciągu przewodów wszystkich torów linii odgałęźnej </t>
    </r>
    <r>
      <rPr>
        <b/>
        <sz val="10"/>
        <color rgb="FF0070C0"/>
        <rFont val="Arial CE"/>
      </rPr>
      <t>N</t>
    </r>
    <r>
      <rPr>
        <b/>
        <vertAlign val="subscript"/>
        <sz val="10"/>
        <color rgb="FF0070C0"/>
        <rFont val="Arial CE"/>
      </rPr>
      <t>p</t>
    </r>
    <r>
      <rPr>
        <sz val="10"/>
        <color rgb="FF0070C0"/>
        <rFont val="Arial CE"/>
      </rPr>
      <t xml:space="preserve">  =</t>
    </r>
  </si>
  <si>
    <r>
      <rPr>
        <sz val="10"/>
        <color rgb="FF0070C0"/>
        <rFont val="Arial"/>
      </rPr>
      <t xml:space="preserve">kąt doprowadzenia linii odgałęźnej wzgl osi  słupa </t>
    </r>
    <r>
      <rPr>
        <sz val="10"/>
        <color rgb="FF0070C0"/>
        <rFont val="Calibri"/>
      </rPr>
      <t>β</t>
    </r>
    <r>
      <rPr>
        <sz val="6"/>
        <color rgb="FF0070C0"/>
        <rFont val="Arial CE"/>
      </rPr>
      <t xml:space="preserve"> </t>
    </r>
    <r>
      <rPr>
        <sz val="10"/>
        <color rgb="FF0070C0"/>
        <rFont val="Arial CE"/>
      </rPr>
      <t>=</t>
    </r>
  </si>
  <si>
    <t>Obliczenia wytrzymałości  słupa KK krańcowo - krańcowego</t>
  </si>
  <si>
    <r>
      <rPr>
        <b/>
        <sz val="12"/>
        <rFont val="Arial"/>
      </rPr>
      <t>P</t>
    </r>
    <r>
      <rPr>
        <b/>
        <vertAlign val="subscript"/>
        <sz val="12"/>
        <rFont val="Arial"/>
      </rPr>
      <t>ux</t>
    </r>
    <r>
      <rPr>
        <b/>
        <sz val="12"/>
        <rFont val="Arial"/>
      </rPr>
      <t xml:space="preserve"> = |N</t>
    </r>
    <r>
      <rPr>
        <b/>
        <vertAlign val="subscript"/>
        <sz val="12"/>
        <rFont val="Arial"/>
      </rPr>
      <t>PXLG</t>
    </r>
    <r>
      <rPr>
        <b/>
        <sz val="12"/>
        <rFont val="Arial"/>
      </rPr>
      <t xml:space="preserve"> + N</t>
    </r>
    <r>
      <rPr>
        <b/>
        <vertAlign val="subscript"/>
        <sz val="12"/>
        <rFont val="Arial"/>
      </rPr>
      <t>PXLO</t>
    </r>
    <r>
      <rPr>
        <b/>
        <sz val="12"/>
        <rFont val="Arial"/>
      </rPr>
      <t>|</t>
    </r>
    <r>
      <rPr>
        <b/>
        <vertAlign val="subscript"/>
        <sz val="12"/>
        <rFont val="Arial"/>
      </rPr>
      <t xml:space="preserve"> + </t>
    </r>
    <r>
      <rPr>
        <b/>
        <sz val="12"/>
        <rFont val="Arial"/>
      </rPr>
      <t>|N</t>
    </r>
    <r>
      <rPr>
        <b/>
        <vertAlign val="subscript"/>
        <sz val="12"/>
        <rFont val="Arial"/>
      </rPr>
      <t>rx</t>
    </r>
    <r>
      <rPr>
        <b/>
        <sz val="12"/>
        <rFont val="Arial"/>
      </rPr>
      <t>|</t>
    </r>
  </si>
  <si>
    <r>
      <rPr>
        <b/>
        <sz val="12"/>
        <rFont val="Arial"/>
      </rPr>
      <t>Puy = |N</t>
    </r>
    <r>
      <rPr>
        <b/>
        <vertAlign val="subscript"/>
        <sz val="12"/>
        <rFont val="Arial CE"/>
      </rPr>
      <t xml:space="preserve">PYLG </t>
    </r>
    <r>
      <rPr>
        <b/>
        <sz val="12"/>
        <rFont val="Arial CE"/>
      </rPr>
      <t>+ N</t>
    </r>
    <r>
      <rPr>
        <b/>
        <vertAlign val="subscript"/>
        <sz val="12"/>
        <rFont val="Arial CE"/>
      </rPr>
      <t>PYLO</t>
    </r>
    <r>
      <rPr>
        <b/>
        <sz val="12"/>
        <rFont val="Arial CE"/>
      </rPr>
      <t>| + |N</t>
    </r>
    <r>
      <rPr>
        <b/>
        <vertAlign val="subscript"/>
        <sz val="12"/>
        <rFont val="Arial CE"/>
      </rPr>
      <t>ry</t>
    </r>
    <r>
      <rPr>
        <b/>
        <sz val="12"/>
        <rFont val="Arial CE"/>
      </rPr>
      <t>| + P</t>
    </r>
    <r>
      <rPr>
        <b/>
        <vertAlign val="subscript"/>
        <sz val="12"/>
        <rFont val="Arial CE"/>
      </rPr>
      <t>sy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oś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so</t>
    </r>
    <r>
      <rPr>
        <b/>
        <sz val="12"/>
        <rFont val="Arial CE"/>
      </rPr>
      <t xml:space="preserve">  + P</t>
    </r>
    <r>
      <rPr>
        <b/>
        <vertAlign val="subscript"/>
        <sz val="12"/>
        <rFont val="Arial CE"/>
      </rPr>
      <t>GB</t>
    </r>
    <r>
      <rPr>
        <b/>
        <sz val="12"/>
        <rFont val="Arial CE"/>
      </rPr>
      <t xml:space="preserve"> </t>
    </r>
  </si>
  <si>
    <r>
      <rPr>
        <sz val="10"/>
        <rFont val="Arial"/>
      </rPr>
      <t>Obliczona siła -  P</t>
    </r>
    <r>
      <rPr>
        <vertAlign val="subscript"/>
        <sz val="10"/>
        <rFont val="Arial CE"/>
      </rPr>
      <t>ux</t>
    </r>
    <r>
      <rPr>
        <sz val="10"/>
        <rFont val="Arial CE"/>
      </rPr>
      <t>=</t>
    </r>
  </si>
  <si>
    <r>
      <rPr>
        <sz val="10"/>
        <rFont val="Arial"/>
      </rPr>
      <t>Obliczona siła -  P</t>
    </r>
    <r>
      <rPr>
        <vertAlign val="subscript"/>
        <sz val="10"/>
        <rFont val="Arial CE"/>
      </rPr>
      <t>uy</t>
    </r>
    <r>
      <rPr>
        <sz val="10"/>
        <rFont val="Arial CE"/>
      </rPr>
      <t>=</t>
    </r>
  </si>
  <si>
    <t>RKK</t>
  </si>
  <si>
    <t>Pux</t>
  </si>
  <si>
    <t>Fx</t>
  </si>
  <si>
    <t>Np.</t>
  </si>
  <si>
    <t>Fn</t>
  </si>
  <si>
    <t>Nrx</t>
  </si>
  <si>
    <t>Fpx ?</t>
  </si>
  <si>
    <t>Pp</t>
  </si>
  <si>
    <t>Po</t>
  </si>
  <si>
    <t>Fl</t>
  </si>
  <si>
    <t>Pr</t>
  </si>
  <si>
    <t>Fx ?</t>
  </si>
  <si>
    <t>Psx</t>
  </si>
  <si>
    <t>Fwsx</t>
  </si>
  <si>
    <t>Ppg</t>
  </si>
  <si>
    <t>Fwp</t>
  </si>
  <si>
    <t>RAPORTY  DO  PROJEKTU - WYBRAĆ DO  TABELI</t>
  </si>
  <si>
    <t>RAPORTY  DO  PROJEKTU - ZESTAWIENIE  (wkleić tylko wartości)</t>
  </si>
  <si>
    <t>Lp</t>
  </si>
  <si>
    <r>
      <rPr>
        <b/>
        <sz val="14"/>
        <color rgb="FFFF0000"/>
        <rFont val="Arial"/>
      </rPr>
      <t>dla słupa</t>
    </r>
    <r>
      <rPr>
        <b/>
        <sz val="22"/>
        <color rgb="FFFF0000"/>
        <rFont val="Arial"/>
      </rPr>
      <t xml:space="preserve"> N</t>
    </r>
  </si>
  <si>
    <r>
      <rPr>
        <b/>
        <sz val="14"/>
        <color rgb="FFFF0000"/>
        <rFont val="Arial"/>
      </rPr>
      <t xml:space="preserve">dla słupa 
</t>
    </r>
    <r>
      <rPr>
        <b/>
        <sz val="22"/>
        <color rgb="FFFF0000"/>
        <rFont val="Arial"/>
      </rPr>
      <t>P</t>
    </r>
  </si>
  <si>
    <t>dla słupa 
P</t>
  </si>
  <si>
    <t>Topola 1</t>
  </si>
  <si>
    <t xml:space="preserve">Nr słupa </t>
  </si>
  <si>
    <t>E12/3,5</t>
  </si>
  <si>
    <t>Funkcja słupa</t>
  </si>
  <si>
    <t>Przęsło</t>
  </si>
  <si>
    <t>[m]</t>
  </si>
  <si>
    <t>Istn. przewody linii głównej</t>
  </si>
  <si>
    <t xml:space="preserve">AsXSn 4x70,   ,  </t>
  </si>
  <si>
    <t>Projektowany przewód podwieszany</t>
  </si>
  <si>
    <t>ADSS 72J</t>
  </si>
  <si>
    <t>Dopuszczalne wartości sił działających na słup</t>
  </si>
  <si>
    <t>w osi  X</t>
  </si>
  <si>
    <t>w osi  Y</t>
  </si>
  <si>
    <t xml:space="preserve">Projektowany zwis kabla podwieszanego    </t>
  </si>
  <si>
    <t xml:space="preserve"> [m]</t>
  </si>
  <si>
    <t xml:space="preserve">Wysokość zawieszenia projektowanego kabla w środku przęsła </t>
  </si>
  <si>
    <t xml:space="preserve">   [m]</t>
  </si>
  <si>
    <t xml:space="preserve">Naprężenie max. przewodu podwieszanego dla projektowanego zwisu </t>
  </si>
  <si>
    <t xml:space="preserve"> σi [Mpa]</t>
  </si>
  <si>
    <t>Obliczone wartości sił działających na słup</t>
  </si>
  <si>
    <t>wypadkowa słupa okrągłego</t>
  </si>
  <si>
    <t xml:space="preserve">Min. zapas dopuszczalnego obciążenia do uwzględnienia zużycia eksploatacyjnego konstrukcji wsporczej  </t>
  </si>
  <si>
    <t>[%]</t>
  </si>
  <si>
    <t>Czy słup spełnia wymagania wytrzymałościowe</t>
  </si>
  <si>
    <t>TAK/NIE</t>
  </si>
  <si>
    <t>TAK</t>
  </si>
  <si>
    <r>
      <rPr>
        <b/>
        <sz val="10"/>
        <color rgb="FF0066CC"/>
        <rFont val="Arial CE"/>
      </rPr>
      <t>LINIA   Sstrefa SI, WI     Zwis t= +40C</t>
    </r>
    <r>
      <rPr>
        <b/>
        <sz val="10"/>
        <rFont val="Arial CE"/>
      </rPr>
      <t xml:space="preserve">
 Przewody AL. lnn dane katalogowe  wg Album Elprojekt Lnn II    Tablica 3 
 Przewody ASXSn (przęsło 35m i 50m) Energolinia  EN-333 Tab 2 oraz  5.1  (Uwaga przęsła 40m, 45m, 55m  obliczone - brak w katalogu)     
 </t>
    </r>
    <r>
      <rPr>
        <b/>
        <sz val="10"/>
        <color rgb="FFFF0000"/>
        <rFont val="Arial CE"/>
      </rPr>
      <t>PODANA WARTOŚĆ NACIAGU  KABLI  SWIATŁOWODOWYCH JEST PO PRZELICZENIU  Z WYSOKOŚCI ZAWIESZENIA NA WIERZCHOŁEK (ro=0,86)</t>
    </r>
  </si>
  <si>
    <t xml:space="preserve">Wiatr </t>
  </si>
  <si>
    <t>lp</t>
  </si>
  <si>
    <t>Typ przewodu</t>
  </si>
  <si>
    <t>do 35m</t>
  </si>
  <si>
    <t>do 40m</t>
  </si>
  <si>
    <t>do 45m</t>
  </si>
  <si>
    <t>do 50m</t>
  </si>
  <si>
    <t>do 55m</t>
  </si>
  <si>
    <t>da/m</t>
  </si>
  <si>
    <t>naciąg daN</t>
  </si>
  <si>
    <t>zwis m</t>
  </si>
  <si>
    <t>naprężenie Mpa</t>
  </si>
  <si>
    <t>ADSS 144J</t>
  </si>
  <si>
    <t>ADSS 2J</t>
  </si>
  <si>
    <t>ADSS 12J</t>
  </si>
  <si>
    <t>ADSS FLAT 24J</t>
  </si>
  <si>
    <t>ADSS 24J</t>
  </si>
  <si>
    <t>ADSS 48J</t>
  </si>
  <si>
    <t>AL. 1x25</t>
  </si>
  <si>
    <t>AL. 1x35</t>
  </si>
  <si>
    <t>AL. 1x50</t>
  </si>
  <si>
    <t>AL. 1x70</t>
  </si>
  <si>
    <t>AL. 1x95</t>
  </si>
  <si>
    <t>AL. 2x25</t>
  </si>
  <si>
    <t>AL. 2x35</t>
  </si>
  <si>
    <t>AL. 3x50+35</t>
  </si>
  <si>
    <t>AL. 4x25</t>
  </si>
  <si>
    <t>AL. 4x35</t>
  </si>
  <si>
    <t>AL. 4x35+1x25</t>
  </si>
  <si>
    <t>AL. 4x35+1x35</t>
  </si>
  <si>
    <t>AL. 4x50</t>
  </si>
  <si>
    <t>AL. 4x50+1x25</t>
  </si>
  <si>
    <t>AL. 4x50+1x35</t>
  </si>
  <si>
    <t>AL. 4x70</t>
  </si>
  <si>
    <t>AL. 4x70+1x25</t>
  </si>
  <si>
    <t>AL. 4x70+1x35</t>
  </si>
  <si>
    <t>AL. 4x95</t>
  </si>
  <si>
    <t>AL. 4x95+1x25</t>
  </si>
  <si>
    <t>AL. 4x95+1x35</t>
  </si>
  <si>
    <t>AsXSn 2x25</t>
  </si>
  <si>
    <t>AsXSn 2x35</t>
  </si>
  <si>
    <t>AsXSn 4x120</t>
  </si>
  <si>
    <t>AsXSn 4x120+25</t>
  </si>
  <si>
    <t>AsXSn 4x120+2x35</t>
  </si>
  <si>
    <t>AsXSn 4x120+35</t>
  </si>
  <si>
    <t>AsXSn 4x25</t>
  </si>
  <si>
    <t>AsXSn 4x35</t>
  </si>
  <si>
    <t>AsXSn 4x35+25</t>
  </si>
  <si>
    <t>AsXSn 4x35+35</t>
  </si>
  <si>
    <t>AsXSn 4x50</t>
  </si>
  <si>
    <t>AsXSn 4x50+25</t>
  </si>
  <si>
    <t>AsXSn 4x50+2x25</t>
  </si>
  <si>
    <t>AsXSn 4x50+2x35</t>
  </si>
  <si>
    <t>AsXSn 4x50+35</t>
  </si>
  <si>
    <t>AsXSn 4x70</t>
  </si>
  <si>
    <t>AsXSn 4x70+25</t>
  </si>
  <si>
    <t>AsXSn 4x70+2x25</t>
  </si>
  <si>
    <t>AsXSn 4x70+2x35</t>
  </si>
  <si>
    <t>AsXSn 4x70+35</t>
  </si>
  <si>
    <t>AsXSn 4x95</t>
  </si>
  <si>
    <t>AsXSn 4x95+25</t>
  </si>
  <si>
    <t>AsXSn 4x95+2x25</t>
  </si>
  <si>
    <t>AsXSn 4x95+2x35</t>
  </si>
  <si>
    <t>AsXSn 4x95+35</t>
  </si>
  <si>
    <t>XzTKMXpwn 2x2</t>
  </si>
  <si>
    <t>XzTKMXpwn 5x4</t>
  </si>
  <si>
    <r>
      <rPr>
        <b/>
        <sz val="10"/>
        <color rgb="FF0066CC"/>
        <rFont val="Arial CE"/>
      </rPr>
      <t xml:space="preserve">Przyłącza    strefa SI, WI     </t>
    </r>
    <r>
      <rPr>
        <b/>
        <sz val="10"/>
        <rFont val="Arial CE"/>
      </rPr>
      <t xml:space="preserve">
Przewody  AL.  Naciąg- dane katalogowe  wg Album Energolinia Lnn+Lnni    Tablica 8  (wiatr obliczony)
Przewody AsXSn  Naciąg przęsło 35m  i  wiatr  dane katalogowe Energolinia EN-333 Tablica 2,  (reszta liczona)            </t>
    </r>
  </si>
  <si>
    <t>do 10m</t>
  </si>
  <si>
    <t>do 15m</t>
  </si>
  <si>
    <t>do 20m</t>
  </si>
  <si>
    <t>do 25m</t>
  </si>
  <si>
    <t>do 30m</t>
  </si>
  <si>
    <t>Wiatr</t>
  </si>
  <si>
    <t>AL. 2x16</t>
  </si>
  <si>
    <t>AL. 4x16</t>
  </si>
  <si>
    <t>AsXSn 2x16</t>
  </si>
  <si>
    <t>AsXSn 4x16</t>
  </si>
  <si>
    <t>Dane słupów   ŻN -Energolinia Lnn+Lnni Tablica 7,  słupów E  energolinia EN-144 Tablica 18</t>
  </si>
  <si>
    <t>r</t>
  </si>
  <si>
    <t>rozkraczny (Aowy)</t>
  </si>
  <si>
    <t>typ</t>
  </si>
  <si>
    <t>Fdx</t>
  </si>
  <si>
    <t>Fdy</t>
  </si>
  <si>
    <t>Fwx WI</t>
  </si>
  <si>
    <t>Fwy WI</t>
  </si>
  <si>
    <t>Fwx WII</t>
  </si>
  <si>
    <t>Fwy WII</t>
  </si>
  <si>
    <t>rp</t>
  </si>
  <si>
    <t>rozkraczny z popdpora ( Aowy z podporą)</t>
  </si>
  <si>
    <t>p</t>
  </si>
  <si>
    <t>podpora</t>
  </si>
  <si>
    <t>rr</t>
  </si>
  <si>
    <t>rozkraczny z rozpórką</t>
  </si>
  <si>
    <t>b</t>
  </si>
  <si>
    <t>bliźniaczy</t>
  </si>
  <si>
    <t>bb</t>
  </si>
  <si>
    <t>bliźniaczy typ b</t>
  </si>
  <si>
    <t>ba</t>
  </si>
  <si>
    <t>bliźniaczy typ a</t>
  </si>
  <si>
    <t xml:space="preserve">o </t>
  </si>
  <si>
    <t>odciąg</t>
  </si>
  <si>
    <t>r N120</t>
  </si>
  <si>
    <t>rozkraczny przy funkcji Narożny i  kącie załomu  127-133stopnie</t>
  </si>
  <si>
    <t>czerwona czcionka - brak danych katalogowych</t>
  </si>
  <si>
    <t>E10/12</t>
  </si>
  <si>
    <t>E12/10</t>
  </si>
  <si>
    <t>E12/12</t>
  </si>
  <si>
    <t>E12/6</t>
  </si>
  <si>
    <t>SDP6</t>
  </si>
  <si>
    <t>Słup drewniany pojedynczy 6mb</t>
  </si>
  <si>
    <t>SDP7</t>
  </si>
  <si>
    <t>Słup drewniany pojedynczy 7mb</t>
  </si>
  <si>
    <t>SDP8</t>
  </si>
  <si>
    <t>Słup drewniany pojedynczy 8mb</t>
  </si>
  <si>
    <t>SDP10</t>
  </si>
  <si>
    <t>Słup drewniany pojedynczy 10mb</t>
  </si>
  <si>
    <t>SDB6</t>
  </si>
  <si>
    <t>Słup drewniany bliźniaczy 6mb</t>
  </si>
  <si>
    <t>SDB7</t>
  </si>
  <si>
    <t>Słup drewniany bliźniaczy 7mb</t>
  </si>
  <si>
    <t>SDB8</t>
  </si>
  <si>
    <t>Słup drewniany bliźniaczy 8mb</t>
  </si>
  <si>
    <t>SDB10</t>
  </si>
  <si>
    <t>Słup drewniany bliźniaczy 10mb</t>
  </si>
  <si>
    <t>SDPU6</t>
  </si>
  <si>
    <t>Słup drewniany pojedynczy uszczudlony 6mb</t>
  </si>
  <si>
    <t>SDPU7</t>
  </si>
  <si>
    <t>Słup drewniany pojedynczy uszczudlony 7mb</t>
  </si>
  <si>
    <t>SDBU6</t>
  </si>
  <si>
    <t>Słup drewniany bliźniaczy uszczudlony 6mb</t>
  </si>
  <si>
    <t>SDBU7</t>
  </si>
  <si>
    <t>Słup drewniany bliźniaczy uszczudlony 7mb</t>
  </si>
  <si>
    <t>SDPP6</t>
  </si>
  <si>
    <t>Słup drewniany pojedynczy z podporą lub rozkraczny 6mb</t>
  </si>
  <si>
    <t>SDPP7</t>
  </si>
  <si>
    <t>Słup drewniany pojedynczy z podporą lub rozkraczny 7mb</t>
  </si>
  <si>
    <t>SDPP8</t>
  </si>
  <si>
    <t>Słup drewniany pojedynczy z podporą lub rozkraczny 8mb</t>
  </si>
  <si>
    <t>SDPP10</t>
  </si>
  <si>
    <t>Słup drewniany pojedynczy z podporą lub rozkraczny 10mb</t>
  </si>
  <si>
    <t>SDPPU6</t>
  </si>
  <si>
    <t>Słup drewniany pojedynczy z podporą lub rozkraczny uszczudlony 6mb</t>
  </si>
  <si>
    <t>SDPPU7</t>
  </si>
  <si>
    <t>Słup drewniany pojedynczy z podporą lub rozkraczny uszczudlony 7mb</t>
  </si>
  <si>
    <t>SDBP6</t>
  </si>
  <si>
    <t>Słup drewniany bliźniaczy z podporą 6mb</t>
  </si>
  <si>
    <t>SDBP7</t>
  </si>
  <si>
    <t>Słup drewniany bliźniaczy z podporą 7mb</t>
  </si>
  <si>
    <t>SDBP8</t>
  </si>
  <si>
    <t>Słup drewniany bliźniaczy z podporą 8mb</t>
  </si>
  <si>
    <t>SDBP10</t>
  </si>
  <si>
    <t>Słup drewniany bliźniaczy z podporą 10mb</t>
  </si>
  <si>
    <t>SDBUP6</t>
  </si>
  <si>
    <t>Słup drewniany bliźniaczy uszczudlony z podporą 6mb</t>
  </si>
  <si>
    <t>SDBUP7</t>
  </si>
  <si>
    <t>Słup drewniany bliźniaczy uszczudlony z podporą 7mb</t>
  </si>
  <si>
    <t>SDBUP8</t>
  </si>
  <si>
    <t>Słup drewniany bliźniaczy uszczudlony z podporą 8mb</t>
  </si>
  <si>
    <t>ŻN7</t>
  </si>
  <si>
    <t>ŻN8</t>
  </si>
  <si>
    <t>ŻN9</t>
  </si>
  <si>
    <t>ŻN12</t>
  </si>
  <si>
    <t>ŻN7ba</t>
  </si>
  <si>
    <t>ŻN8ba</t>
  </si>
  <si>
    <t>ŻN9ba</t>
  </si>
  <si>
    <t>ŻN10ba</t>
  </si>
  <si>
    <t>ŻN12ba</t>
  </si>
  <si>
    <t>ŻN7bb</t>
  </si>
  <si>
    <t>ŻN8bb</t>
  </si>
  <si>
    <t>ŻN9bb</t>
  </si>
  <si>
    <t>ŻN10bb</t>
  </si>
  <si>
    <t>ŻN12bb</t>
  </si>
  <si>
    <t>ŻN7p</t>
  </si>
  <si>
    <t>ŻN8p</t>
  </si>
  <si>
    <t>ŻN9p</t>
  </si>
  <si>
    <t>ŻN10p</t>
  </si>
  <si>
    <t>ŻN12p</t>
  </si>
  <si>
    <t>ŻN7o</t>
  </si>
  <si>
    <t>ŻN8o</t>
  </si>
  <si>
    <t>ŻN9o</t>
  </si>
  <si>
    <t>ŻN10o</t>
  </si>
  <si>
    <t>ŻN12o</t>
  </si>
  <si>
    <t>ŻN7r</t>
  </si>
  <si>
    <t>ŻN8r</t>
  </si>
  <si>
    <t>ŻN9r</t>
  </si>
  <si>
    <t>ŻN10r</t>
  </si>
  <si>
    <t>ŻN12r</t>
  </si>
  <si>
    <t>ŻN9rr</t>
  </si>
  <si>
    <t>ŻN10rr</t>
  </si>
  <si>
    <t>ŻN12rr</t>
  </si>
  <si>
    <t>ŻN9rp</t>
  </si>
  <si>
    <t>ŻN10rp</t>
  </si>
  <si>
    <t>ŻN12rp</t>
  </si>
  <si>
    <t>ŻN9rpr</t>
  </si>
  <si>
    <t>ŻN10rpr</t>
  </si>
  <si>
    <t>ŻN12rpr</t>
  </si>
  <si>
    <t>ALA8</t>
  </si>
  <si>
    <t>ALA9</t>
  </si>
  <si>
    <t>ALA10</t>
  </si>
  <si>
    <t>ALA12</t>
  </si>
  <si>
    <t>ALA8b</t>
  </si>
  <si>
    <t>ALA9b</t>
  </si>
  <si>
    <t>ALA10b</t>
  </si>
  <si>
    <t>ALA12b</t>
  </si>
  <si>
    <t>ALA8p</t>
  </si>
  <si>
    <t>ALA9p</t>
  </si>
  <si>
    <t>ALA10p</t>
  </si>
  <si>
    <t>ALA12p</t>
  </si>
  <si>
    <t>ALA8o</t>
  </si>
  <si>
    <t>ALA9o</t>
  </si>
  <si>
    <t>ALA10o</t>
  </si>
  <si>
    <t>ALA12o</t>
  </si>
  <si>
    <t>ALA8r</t>
  </si>
  <si>
    <t>ALA9r</t>
  </si>
  <si>
    <t>ALA10r</t>
  </si>
  <si>
    <t>ALA12r</t>
  </si>
  <si>
    <t>ALA9rr</t>
  </si>
  <si>
    <t>ALA10rr</t>
  </si>
  <si>
    <t>ALA12rr</t>
  </si>
  <si>
    <t>ALA9rp</t>
  </si>
  <si>
    <t>ALA10rp</t>
  </si>
  <si>
    <t>ALA12rp</t>
  </si>
  <si>
    <t>ALA9rpr</t>
  </si>
  <si>
    <t>ALA10rpr</t>
  </si>
  <si>
    <t>ALA12rpr</t>
  </si>
  <si>
    <t>WI</t>
  </si>
  <si>
    <t>WII</t>
  </si>
  <si>
    <t>Lampa nad linią</t>
  </si>
  <si>
    <t>20daN</t>
  </si>
  <si>
    <t>25daN</t>
  </si>
  <si>
    <t>Lampa pod linią</t>
  </si>
  <si>
    <t>14daN</t>
  </si>
  <si>
    <t>18daN</t>
  </si>
  <si>
    <t>Obciążenie wiatrem stelażu zapasu kabla z mufą małą lub dużą</t>
  </si>
  <si>
    <t>Zapas</t>
  </si>
  <si>
    <t>Mufa Mała</t>
  </si>
  <si>
    <t>Mufa Duża</t>
  </si>
  <si>
    <t>Zapas Kabla</t>
  </si>
  <si>
    <t>7daN</t>
  </si>
  <si>
    <t>10daN</t>
  </si>
  <si>
    <t>15daN</t>
  </si>
  <si>
    <t>Obciążenie pzrewodu wiatrem</t>
  </si>
  <si>
    <t>C</t>
  </si>
  <si>
    <t>k</t>
  </si>
  <si>
    <t>A</t>
  </si>
  <si>
    <t>Układ płaski  (ro)</t>
  </si>
  <si>
    <t>ADSS
 144J</t>
  </si>
  <si>
    <t>ADSS
 96J</t>
  </si>
  <si>
    <t>ADSS
12J</t>
  </si>
  <si>
    <t>SQOTKSdD
 2J</t>
  </si>
  <si>
    <t xml:space="preserve">AL. 4x25 </t>
  </si>
  <si>
    <t xml:space="preserve">AL. 4x50 </t>
  </si>
  <si>
    <t xml:space="preserve">AL. 4x70 </t>
  </si>
  <si>
    <t xml:space="preserve">AL. 4x95 </t>
  </si>
  <si>
    <t xml:space="preserve">AL. 1x16 </t>
  </si>
  <si>
    <t xml:space="preserve">AL. 2x16 </t>
  </si>
  <si>
    <t xml:space="preserve">AL. 2x25 </t>
  </si>
  <si>
    <t xml:space="preserve">AL. 4x16 </t>
  </si>
  <si>
    <t>AsXSn
2x25</t>
  </si>
  <si>
    <t>AsXSn
2x35</t>
  </si>
  <si>
    <t>AsXSn
4x25</t>
  </si>
  <si>
    <t>AsXSn
4x35</t>
  </si>
  <si>
    <t>AsXSn
4x50</t>
  </si>
  <si>
    <t>AsXSn
4x70</t>
  </si>
  <si>
    <t>AsXSn
4x95</t>
  </si>
  <si>
    <t>AsXSn
4x120</t>
  </si>
  <si>
    <t>AsXSn
4x35+25</t>
  </si>
  <si>
    <t>AsXSn
4x50+25</t>
  </si>
  <si>
    <t>AsXSn
4x70+25</t>
  </si>
  <si>
    <t>AsXSn
4x95+25</t>
  </si>
  <si>
    <t>AsXSn
4x120+25</t>
  </si>
  <si>
    <t>AsXSn
4x50+2x25</t>
  </si>
  <si>
    <t>AsXSn
4x70+2x25</t>
  </si>
  <si>
    <t>AsXSn
4x95+2x25</t>
  </si>
  <si>
    <t>AsXSn
4x120+2x25</t>
  </si>
  <si>
    <t>AsXSn
4x35+35</t>
  </si>
  <si>
    <t>AsXSn
4x50+35</t>
  </si>
  <si>
    <t>AsXSn
4x70+35</t>
  </si>
  <si>
    <t>AsXSn
4x95+35</t>
  </si>
  <si>
    <t>AsXSn
4x120+35</t>
  </si>
  <si>
    <t>AsXSn
4x50+2x35</t>
  </si>
  <si>
    <t>AsXSn
4x70+2x35</t>
  </si>
  <si>
    <t>AsXSn
4x95+2x35</t>
  </si>
  <si>
    <t>AsXSn
4x120+2x35</t>
  </si>
  <si>
    <t xml:space="preserve"> Obciążenie wiatrem daN/m</t>
  </si>
  <si>
    <t>waga kabla kg/km</t>
  </si>
  <si>
    <t xml:space="preserve">Naciąg kabli  </t>
  </si>
  <si>
    <t>Strefa</t>
  </si>
  <si>
    <t>SI</t>
  </si>
  <si>
    <t>typ kabla</t>
  </si>
  <si>
    <t>XTKMwn
 2x2</t>
  </si>
  <si>
    <t>XTKMwn
5x4</t>
  </si>
  <si>
    <t>XTKMwn
10x4</t>
  </si>
  <si>
    <t xml:space="preserve">ADSS  4kN
48 (8x6) </t>
  </si>
  <si>
    <t xml:space="preserve">ADSS  4kN
12 - 72J </t>
  </si>
  <si>
    <t>ADSS 4kN
96J</t>
  </si>
  <si>
    <t>ADSS 4kN
144J</t>
  </si>
  <si>
    <t>ADDS FLAT 24J</t>
  </si>
  <si>
    <t>a długość przęsła [m]</t>
  </si>
  <si>
    <t>f zwis [m]</t>
  </si>
  <si>
    <t>ds. średnica kabla [mm]</t>
  </si>
  <si>
    <t>3</t>
  </si>
  <si>
    <t>8,7</t>
  </si>
  <si>
    <t>Gp ciężar liniowy kabla
[N/m]</t>
  </si>
  <si>
    <t>Gs ciężar szadzi 
[N/m]</t>
  </si>
  <si>
    <t>G ciężar liniowy kabla z szadzią [N/m]</t>
  </si>
  <si>
    <t>S  przekrój  obl. cz.nośnej 
[mm2]</t>
  </si>
  <si>
    <r>
      <rPr>
        <b/>
        <sz val="11"/>
        <color rgb="FF000000"/>
        <rFont val="Calibri"/>
      </rPr>
      <t xml:space="preserve">g </t>
    </r>
    <r>
      <rPr>
        <sz val="10"/>
        <rFont val="Arial CE"/>
      </rPr>
      <t xml:space="preserve">  obciążenie objętościowe przewodu w warunkach sadzi normalnej [N/m*mm2] 
g=Gp+Gs/S    </t>
    </r>
  </si>
  <si>
    <r>
      <rPr>
        <b/>
        <sz val="12"/>
        <color rgb="FF000000"/>
        <rFont val="Calibri"/>
      </rPr>
      <t xml:space="preserve">n </t>
    </r>
    <r>
      <rPr>
        <sz val="10"/>
        <rFont val="Arial CE"/>
      </rPr>
      <t>naprężenie max   przewodu  [MPa]
a</t>
    </r>
    <r>
      <rPr>
        <vertAlign val="superscript"/>
        <sz val="11"/>
        <color rgb="FF000000"/>
        <rFont val="Calibri"/>
      </rPr>
      <t>2</t>
    </r>
    <r>
      <rPr>
        <sz val="10"/>
        <rFont val="Arial CE"/>
      </rPr>
      <t xml:space="preserve">*g/8*f    </t>
    </r>
  </si>
  <si>
    <r>
      <rPr>
        <b/>
        <sz val="10"/>
        <rFont val="Calibri"/>
      </rPr>
      <t xml:space="preserve">N </t>
    </r>
    <r>
      <rPr>
        <sz val="10"/>
        <color rgb="FF000000"/>
        <rFont val="Calibri"/>
      </rPr>
      <t xml:space="preserve">naciąg   [daN]
S*n </t>
    </r>
  </si>
  <si>
    <r>
      <rPr>
        <b/>
        <sz val="10"/>
        <rFont val="Calibri"/>
      </rPr>
      <t xml:space="preserve">F </t>
    </r>
    <r>
      <rPr>
        <sz val="10"/>
        <color rgb="FF000000"/>
        <rFont val="Calibri"/>
      </rPr>
      <t>sila naciągu  na wierzchołek słupa</t>
    </r>
    <r>
      <rPr>
        <b/>
        <sz val="10"/>
        <color rgb="FF000000"/>
        <rFont val="Calibri"/>
      </rPr>
      <t xml:space="preserve">
</t>
    </r>
    <r>
      <rPr>
        <sz val="10"/>
        <color rgb="FF000000"/>
        <rFont val="Calibri"/>
      </rPr>
      <t>F=N*(hp/hs) 
hp-wysokość  zawiesz. ŻN10=6,9, ŻN12=8,6 
hs wys. wierzch. słupa ŻN10=8 , ŻN12=9,9</t>
    </r>
  </si>
  <si>
    <r>
      <rPr>
        <b/>
        <sz val="11"/>
        <rFont val="Calibri"/>
      </rPr>
      <t xml:space="preserve">f </t>
    </r>
    <r>
      <rPr>
        <sz val="11"/>
        <color rgb="FF000000"/>
        <rFont val="Calibri"/>
      </rPr>
      <t>dobór zwisu [m]
dla max naciągu</t>
    </r>
    <r>
      <rPr>
        <b/>
        <sz val="11"/>
        <color rgb="FF000000"/>
        <rFont val="Calibri"/>
      </rPr>
      <t xml:space="preserve">  n=200daN</t>
    </r>
  </si>
  <si>
    <t>pokazuj tylko używany rodzaj słupa</t>
  </si>
  <si>
    <t>zwiększ ilość przyłączy i lg</t>
  </si>
  <si>
    <t>objaśnienia w excel</t>
  </si>
  <si>
    <t>obliczenia wrzuć do innej zakładki</t>
  </si>
  <si>
    <t xml:space="preserve">przygotuj eksport </t>
  </si>
  <si>
    <t>F4_a</t>
  </si>
  <si>
    <r>
      <rPr>
        <sz val="9"/>
        <rFont val="Arial"/>
        <family val="2"/>
        <charset val="238"/>
      </rPr>
      <t>* Siły  kabli telekomunikacyjnych  sprowadzone na wierzchołek  słupa  metodą równych momentów  z rzeczywistej wysokości zawieszenia F=F</t>
    </r>
    <r>
      <rPr>
        <vertAlign val="subscript"/>
        <sz val="9"/>
        <rFont val="Arial CE"/>
      </rPr>
      <t>x</t>
    </r>
    <r>
      <rPr>
        <sz val="9"/>
        <rFont val="Arial CE"/>
      </rPr>
      <t>*(hp/hs)  gdzie F</t>
    </r>
    <r>
      <rPr>
        <vertAlign val="subscript"/>
        <sz val="9"/>
        <rFont val="Arial CE"/>
      </rPr>
      <t>x</t>
    </r>
    <r>
      <rPr>
        <sz val="9"/>
        <rFont val="Arial CE"/>
      </rPr>
      <t xml:space="preserve"> -siła na wysokości montażu,  hp-wysokość montażu , hs-wysokość wierzchołka słupa</t>
    </r>
  </si>
  <si>
    <t>2xADSS 2J</t>
  </si>
  <si>
    <t>3xADSS 2J</t>
  </si>
  <si>
    <t>4xADSS 2J</t>
  </si>
  <si>
    <t>5xADSS 2J</t>
  </si>
  <si>
    <r>
      <t>* Siły  kabli telekomunikacyjnych  sprowadzone na wierzchołek  słupa  metodą równych momentów  z rzeczywistej wysokości zawieszenia F=F</t>
    </r>
    <r>
      <rPr>
        <vertAlign val="subscript"/>
        <sz val="9"/>
        <rFont val="Arial CE"/>
      </rPr>
      <t>x</t>
    </r>
    <r>
      <rPr>
        <sz val="9"/>
        <rFont val="Arial CE"/>
      </rPr>
      <t>*(hp/hs)  gdzie F</t>
    </r>
    <r>
      <rPr>
        <vertAlign val="subscript"/>
        <sz val="9"/>
        <rFont val="Arial CE"/>
      </rPr>
      <t>x</t>
    </r>
    <r>
      <rPr>
        <sz val="9"/>
        <rFont val="Arial CE"/>
      </rPr>
      <t xml:space="preserve"> -siła na wysokości montażu,  hp-wysokość montażu , hs-wysokość wierzchołka słupa</t>
    </r>
  </si>
  <si>
    <t>Obliczona siła - Pux bez kabli telekomunikacyjnych</t>
  </si>
  <si>
    <t>Obliczona siła - Puy bez kabli telekomunikacyjnych</t>
  </si>
  <si>
    <t>ALY 5x25</t>
  </si>
  <si>
    <t>E10.5/10</t>
  </si>
  <si>
    <t>E10.5/10b</t>
  </si>
  <si>
    <t>E10.5/12</t>
  </si>
  <si>
    <t>E10.5/13.5</t>
  </si>
  <si>
    <t>E10.5/15</t>
  </si>
  <si>
    <t>E10.5/2.5</t>
  </si>
  <si>
    <t>E10.5/3.5</t>
  </si>
  <si>
    <t>E10.5/4.3</t>
  </si>
  <si>
    <t>E10.5/6</t>
  </si>
  <si>
    <t>E12/3.5</t>
  </si>
  <si>
    <t>E12/4.3</t>
  </si>
  <si>
    <t>AsXSn 1x25</t>
  </si>
  <si>
    <t>ALA13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</si>
</sst>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"/>
    <numFmt numFmtId="165" formatCode="0.0"/>
    <numFmt numFmtId="166" formatCode="0.00&quot; daN&quot;"/>
    <numFmt numFmtId="167" formatCode="0.00&quot; °&quot;"/>
    <numFmt numFmtId="168" formatCode="0.0%"/>
    <numFmt numFmtId="169" formatCode="0.000"/>
  </numFmts>
  <fonts count="89">
    <font>
      <sz val="10"/>
      <color rgb="FF000000"/>
      <name val="Calibri"/>
      <scheme val="minor"/>
    </font>
    <font>
      <b/>
      <sz val="10"/>
      <name val="Arial"/>
    </font>
    <font>
      <sz val="10"/>
      <name val="Arial"/>
    </font>
    <font>
      <b/>
      <sz val="10"/>
      <name val="Calibri"/>
    </font>
    <font>
      <sz val="11"/>
      <color rgb="FF0000FF"/>
      <name val="Czcionka tekstu podstawowego"/>
    </font>
    <font>
      <sz val="11"/>
      <color rgb="FFFF00FF"/>
      <name val="Czcionka tekstu podstawowego"/>
    </font>
    <font>
      <sz val="11"/>
      <color rgb="FF800080"/>
      <name val="Czcionka tekstu podstawowego"/>
    </font>
    <font>
      <sz val="11"/>
      <color rgb="FF993300"/>
      <name val="Czcionka tekstu podstawowego"/>
    </font>
    <font>
      <sz val="11"/>
      <color rgb="FF366092"/>
      <name val="Czcionka tekstu podstawowego"/>
    </font>
    <font>
      <sz val="11"/>
      <color rgb="FF1F497D"/>
      <name val="Czcionka tekstu podstawowego"/>
    </font>
    <font>
      <sz val="11"/>
      <color rgb="FF548DD4"/>
      <name val="Czcionka tekstu podstawowego"/>
    </font>
    <font>
      <sz val="24"/>
      <color rgb="FFFF0000"/>
      <name val="Czcionka tekstu podstawowego"/>
    </font>
    <font>
      <sz val="8"/>
      <color rgb="FF548DD4"/>
      <name val="Czcionka tekstu podstawowego"/>
    </font>
    <font>
      <sz val="10"/>
      <color rgb="FF0070C0"/>
      <name val="Arial"/>
    </font>
    <font>
      <b/>
      <sz val="10"/>
      <color rgb="FF0070C0"/>
      <name val="Arial"/>
    </font>
    <font>
      <sz val="11"/>
      <name val="Arial"/>
    </font>
    <font>
      <sz val="10"/>
      <name val="Arial"/>
    </font>
    <font>
      <sz val="10"/>
      <color rgb="FFC00000"/>
      <name val="Arial"/>
    </font>
    <font>
      <b/>
      <sz val="10"/>
      <color rgb="FFC00000"/>
      <name val="Arial"/>
    </font>
    <font>
      <sz val="11"/>
      <color rgb="FFC00000"/>
      <name val="Arial"/>
    </font>
    <font>
      <sz val="10"/>
      <color rgb="FFFF0000"/>
      <name val="Arial"/>
    </font>
    <font>
      <sz val="10"/>
      <name val="Calibri"/>
    </font>
    <font>
      <b/>
      <sz val="10"/>
      <name val="Arial"/>
    </font>
    <font>
      <sz val="11"/>
      <name val="Czcionka tekstu podstawowego"/>
    </font>
    <font>
      <sz val="10"/>
      <color rgb="FFE36C09"/>
      <name val="Arial"/>
    </font>
    <font>
      <sz val="11"/>
      <color rgb="FFFF0000"/>
      <name val="Czcionka tekstu podstawowego"/>
    </font>
    <font>
      <sz val="9"/>
      <name val="Arial"/>
    </font>
    <font>
      <sz val="12"/>
      <name val="Arial"/>
    </font>
    <font>
      <sz val="12"/>
      <color rgb="FFFBD4B4"/>
      <name val="Arial"/>
    </font>
    <font>
      <sz val="10"/>
      <color rgb="FFFBD4B4"/>
      <name val="Arial"/>
    </font>
    <font>
      <sz val="10"/>
      <color rgb="FF00B050"/>
      <name val="Arial"/>
    </font>
    <font>
      <b/>
      <sz val="8"/>
      <name val="Czcionka tekstu podstawowego"/>
    </font>
    <font>
      <b/>
      <sz val="8"/>
      <name val="Arial"/>
    </font>
    <font>
      <b/>
      <sz val="10"/>
      <name val="Czcionka tekstu podstawowego"/>
    </font>
    <font>
      <sz val="14"/>
      <name val="Czcionka tekstu podstawowego"/>
    </font>
    <font>
      <sz val="10"/>
      <name val="Calibri"/>
    </font>
    <font>
      <b/>
      <sz val="12"/>
      <name val="Arial"/>
    </font>
    <font>
      <b/>
      <sz val="10"/>
      <color rgb="FFFF0000"/>
      <name val="Arial"/>
    </font>
    <font>
      <b/>
      <sz val="12"/>
      <name val="Calibri"/>
    </font>
    <font>
      <sz val="10"/>
      <color rgb="FFE5B8B7"/>
      <name val="Arial"/>
    </font>
    <font>
      <b/>
      <sz val="12"/>
      <color rgb="FF00B050"/>
      <name val="Arial"/>
    </font>
    <font>
      <b/>
      <sz val="11"/>
      <color rgb="FFFF0000"/>
      <name val="Arial"/>
    </font>
    <font>
      <sz val="14"/>
      <name val="Arial"/>
    </font>
    <font>
      <b/>
      <sz val="18"/>
      <name val="Arial"/>
    </font>
    <font>
      <sz val="12"/>
      <name val="Arial"/>
    </font>
    <font>
      <b/>
      <sz val="14"/>
      <color rgb="FFFF0000"/>
      <name val="Arial"/>
    </font>
    <font>
      <u/>
      <sz val="10"/>
      <name val="Arial"/>
    </font>
    <font>
      <sz val="11"/>
      <name val="Calibri"/>
    </font>
    <font>
      <b/>
      <sz val="11"/>
      <name val="Calibri"/>
    </font>
    <font>
      <b/>
      <sz val="10"/>
      <name val="Calibri"/>
    </font>
    <font>
      <b/>
      <sz val="10"/>
      <color rgb="FFFF0000"/>
      <name val="Arial CE"/>
    </font>
    <font>
      <b/>
      <sz val="10"/>
      <name val="Arial CE"/>
    </font>
    <font>
      <b/>
      <sz val="10"/>
      <name val="Symbol"/>
    </font>
    <font>
      <vertAlign val="subscript"/>
      <sz val="11"/>
      <name val="Arial CE"/>
    </font>
    <font>
      <sz val="11"/>
      <name val="Arial CE"/>
    </font>
    <font>
      <b/>
      <sz val="11"/>
      <name val="Arial CE"/>
    </font>
    <font>
      <vertAlign val="subscript"/>
      <sz val="11"/>
      <name val="Czcionka tekstu podstawowego"/>
    </font>
    <font>
      <vertAlign val="subscript"/>
      <sz val="12"/>
      <name val="Arial CE"/>
    </font>
    <font>
      <sz val="12"/>
      <name val="Arial CE"/>
    </font>
    <font>
      <b/>
      <sz val="10"/>
      <color rgb="FF0070C0"/>
      <name val="Arial CE"/>
    </font>
    <font>
      <b/>
      <vertAlign val="subscript"/>
      <sz val="10"/>
      <color rgb="FF0070C0"/>
      <name val="Arial CE"/>
    </font>
    <font>
      <sz val="10"/>
      <color rgb="FF0070C0"/>
      <name val="Arial CE"/>
    </font>
    <font>
      <b/>
      <sz val="12"/>
      <name val="Arial CE"/>
    </font>
    <font>
      <b/>
      <vertAlign val="subscript"/>
      <sz val="12"/>
      <name val="Arial CE"/>
    </font>
    <font>
      <b/>
      <vertAlign val="subscript"/>
      <sz val="10"/>
      <name val="Arial CE"/>
    </font>
    <font>
      <vertAlign val="subscript"/>
      <sz val="10"/>
      <name val="Arial CE"/>
    </font>
    <font>
      <sz val="10"/>
      <name val="Arial CE"/>
    </font>
    <font>
      <b/>
      <sz val="8"/>
      <name val="Arial CE"/>
    </font>
    <font>
      <sz val="6"/>
      <name val="Arial CE"/>
    </font>
    <font>
      <b/>
      <sz val="7"/>
      <name val="Arial CE"/>
    </font>
    <font>
      <sz val="10"/>
      <color rgb="FF0070C0"/>
      <name val="Calibri"/>
    </font>
    <font>
      <sz val="6"/>
      <color rgb="FF0070C0"/>
      <name val="Arial CE"/>
    </font>
    <font>
      <b/>
      <vertAlign val="subscript"/>
      <sz val="12"/>
      <name val="Arial"/>
    </font>
    <font>
      <b/>
      <sz val="22"/>
      <color rgb="FFFF0000"/>
      <name val="Arial"/>
    </font>
    <font>
      <b/>
      <sz val="10"/>
      <color rgb="FF0066CC"/>
      <name val="Arial CE"/>
    </font>
    <font>
      <b/>
      <sz val="11"/>
      <color rgb="FF000000"/>
      <name val="Calibri"/>
    </font>
    <font>
      <b/>
      <sz val="12"/>
      <color rgb="FF000000"/>
      <name val="Calibri"/>
    </font>
    <font>
      <vertAlign val="superscript"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1"/>
      <color rgb="FF000000"/>
      <name val="Calibri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11"/>
      <color rgb="FF00B0F0"/>
      <name val="Czcionka tekstu podstawowego"/>
    </font>
    <font>
      <sz val="11"/>
      <color theme="8"/>
      <name val="Czcionka tekstu podstawowego"/>
    </font>
    <font>
      <sz val="9"/>
      <name val="Arial"/>
      <family val="2"/>
      <charset val="238"/>
    </font>
    <font>
      <vertAlign val="subscript"/>
      <sz val="9"/>
      <name val="Arial CE"/>
    </font>
    <font>
      <sz val="9"/>
      <name val="Arial CE"/>
    </font>
    <font>
      <sz val="10"/>
      <color theme="1"/>
      <name val="Calibri"/>
      <family val="2"/>
      <charset val="238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2DBDB"/>
        <bgColor rgb="FFF2DBDB"/>
      </patternFill>
    </fill>
    <fill>
      <patternFill patternType="solid">
        <fgColor rgb="FFDDD9C3"/>
        <bgColor rgb="FFDDD9C3"/>
      </patternFill>
    </fill>
    <fill>
      <patternFill patternType="solid">
        <fgColor rgb="FFD99594"/>
        <bgColor rgb="FFD99594"/>
      </patternFill>
    </fill>
    <fill>
      <patternFill patternType="solid">
        <fgColor rgb="FF95B3D7"/>
        <bgColor rgb="FF95B3D7"/>
      </patternFill>
    </fill>
    <fill>
      <patternFill patternType="solid">
        <fgColor rgb="FFE5DFEC"/>
        <bgColor rgb="FFE5DFEC"/>
      </patternFill>
    </fill>
    <fill>
      <patternFill patternType="solid">
        <fgColor rgb="FFEAF1DD"/>
        <bgColor rgb="FFEAF1DD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C00000"/>
        <bgColor rgb="FFC00000"/>
      </patternFill>
    </fill>
    <fill>
      <patternFill patternType="solid">
        <fgColor rgb="FFEEFCAA"/>
        <bgColor rgb="FFEEFCAA"/>
      </patternFill>
    </fill>
    <fill>
      <patternFill patternType="solid">
        <fgColor rgb="FFFFC000"/>
        <bgColor rgb="FFFFC000"/>
      </patternFill>
    </fill>
    <fill>
      <patternFill patternType="solid">
        <fgColor rgb="FFDBE5F1"/>
        <bgColor rgb="FFDBE5F1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98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ck">
        <color rgb="FF938953"/>
      </left>
      <right/>
      <top style="thick">
        <color rgb="FF938953"/>
      </top>
      <bottom style="thick">
        <color rgb="FF938953"/>
      </bottom>
      <diagonal/>
    </border>
    <border>
      <left/>
      <right style="thick">
        <color rgb="FF5F497A"/>
      </right>
      <top style="thick">
        <color rgb="FF5F497A"/>
      </top>
      <bottom style="thick">
        <color rgb="FF5F497A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thick">
        <color rgb="FF938953"/>
      </left>
      <right/>
      <top style="thick">
        <color rgb="FF938953"/>
      </top>
      <bottom style="dotted">
        <color rgb="FF000000"/>
      </bottom>
      <diagonal/>
    </border>
    <border>
      <left/>
      <right style="thick">
        <color rgb="FF5F497A"/>
      </right>
      <top style="thick">
        <color rgb="FF5F497A"/>
      </top>
      <bottom style="dotted">
        <color rgb="FF000000"/>
      </bottom>
      <diagonal/>
    </border>
    <border>
      <left style="thick">
        <color rgb="FF938953"/>
      </left>
      <right/>
      <top/>
      <bottom style="thick">
        <color rgb="FF938953"/>
      </bottom>
      <diagonal/>
    </border>
    <border>
      <left/>
      <right style="thick">
        <color rgb="FF5F497A"/>
      </right>
      <top/>
      <bottom style="thick">
        <color rgb="FF5F497A"/>
      </bottom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0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textRotation="90" wrapText="1"/>
    </xf>
    <xf numFmtId="0" fontId="4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  <xf numFmtId="0" fontId="5" fillId="0" borderId="5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2" fillId="0" borderId="8" xfId="0" applyFont="1" applyBorder="1" applyAlignment="1">
      <alignment wrapText="1"/>
    </xf>
    <xf numFmtId="0" fontId="1" fillId="3" borderId="9" xfId="0" applyFont="1" applyFill="1" applyBorder="1" applyAlignment="1">
      <alignment horizontal="center" wrapText="1"/>
    </xf>
    <xf numFmtId="0" fontId="1" fillId="4" borderId="10" xfId="0" applyFont="1" applyFill="1" applyBorder="1" applyAlignment="1">
      <alignment horizontal="center" wrapText="1"/>
    </xf>
    <xf numFmtId="0" fontId="1" fillId="3" borderId="11" xfId="0" applyFont="1" applyFill="1" applyBorder="1" applyAlignment="1">
      <alignment horizontal="center" wrapText="1"/>
    </xf>
    <xf numFmtId="0" fontId="1" fillId="4" borderId="12" xfId="0" applyFont="1" applyFill="1" applyBorder="1" applyAlignment="1">
      <alignment horizontal="center" wrapText="1"/>
    </xf>
    <xf numFmtId="0" fontId="6" fillId="0" borderId="5" xfId="0" applyFont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 wrapText="1"/>
    </xf>
    <xf numFmtId="0" fontId="1" fillId="6" borderId="12" xfId="0" applyFont="1" applyFill="1" applyBorder="1" applyAlignment="1">
      <alignment horizontal="center" wrapText="1"/>
    </xf>
    <xf numFmtId="0" fontId="7" fillId="0" borderId="5" xfId="0" applyFont="1" applyBorder="1" applyAlignment="1">
      <alignment horizontal="center" vertical="center"/>
    </xf>
    <xf numFmtId="0" fontId="1" fillId="5" borderId="3" xfId="0" applyFont="1" applyFill="1" applyBorder="1" applyAlignment="1">
      <alignment horizontal="center" wrapText="1"/>
    </xf>
    <xf numFmtId="0" fontId="1" fillId="6" borderId="4" xfId="0" applyFont="1" applyFill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" fillId="5" borderId="9" xfId="0" applyFont="1" applyFill="1" applyBorder="1" applyAlignment="1">
      <alignment horizontal="center" wrapText="1"/>
    </xf>
    <xf numFmtId="0" fontId="1" fillId="6" borderId="10" xfId="0" applyFont="1" applyFill="1" applyBorder="1" applyAlignment="1">
      <alignment horizontal="center" wrapText="1"/>
    </xf>
    <xf numFmtId="0" fontId="1" fillId="7" borderId="5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1" fillId="0" borderId="0" xfId="0" applyFont="1"/>
    <xf numFmtId="0" fontId="10" fillId="0" borderId="1" xfId="0" applyFont="1" applyBorder="1" applyAlignment="1">
      <alignment horizontal="center" vertical="center"/>
    </xf>
    <xf numFmtId="0" fontId="1" fillId="9" borderId="11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 vertical="center"/>
    </xf>
    <xf numFmtId="0" fontId="1" fillId="9" borderId="3" xfId="0" applyFont="1" applyFill="1" applyBorder="1" applyAlignment="1">
      <alignment horizontal="center" wrapText="1"/>
    </xf>
    <xf numFmtId="0" fontId="1" fillId="10" borderId="4" xfId="0" applyFont="1" applyFill="1" applyBorder="1" applyAlignment="1">
      <alignment horizontal="center" wrapText="1"/>
    </xf>
    <xf numFmtId="0" fontId="1" fillId="9" borderId="9" xfId="0" applyFont="1" applyFill="1" applyBorder="1" applyAlignment="1">
      <alignment horizontal="center" wrapText="1"/>
    </xf>
    <xf numFmtId="0" fontId="1" fillId="10" borderId="10" xfId="0" applyFont="1" applyFill="1" applyBorder="1" applyAlignment="1">
      <alignment horizontal="center" wrapText="1"/>
    </xf>
    <xf numFmtId="0" fontId="10" fillId="11" borderId="1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12" fillId="0" borderId="16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164" fontId="14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right" vertical="center" wrapText="1"/>
    </xf>
    <xf numFmtId="0" fontId="13" fillId="0" borderId="0" xfId="0" applyFont="1" applyAlignment="1">
      <alignment vertical="center" wrapText="1"/>
    </xf>
    <xf numFmtId="0" fontId="13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3" fillId="0" borderId="5" xfId="0" applyFont="1" applyBorder="1" applyAlignment="1">
      <alignment horizontal="left" vertical="center" wrapText="1"/>
    </xf>
    <xf numFmtId="0" fontId="1" fillId="7" borderId="5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2" fontId="2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wrapText="1"/>
    </xf>
    <xf numFmtId="0" fontId="15" fillId="0" borderId="17" xfId="0" applyFont="1" applyBorder="1" applyAlignment="1">
      <alignment horizontal="right" wrapText="1"/>
    </xf>
    <xf numFmtId="0" fontId="16" fillId="3" borderId="5" xfId="0" applyFont="1" applyFill="1" applyBorder="1" applyAlignment="1">
      <alignment horizontal="center" wrapText="1"/>
    </xf>
    <xf numFmtId="0" fontId="2" fillId="4" borderId="5" xfId="0" applyFont="1" applyFill="1" applyBorder="1" applyAlignment="1">
      <alignment horizontal="center" wrapText="1"/>
    </xf>
    <xf numFmtId="0" fontId="13" fillId="0" borderId="0" xfId="0" applyFont="1" applyAlignment="1">
      <alignment horizontal="center" wrapText="1"/>
    </xf>
    <xf numFmtId="0" fontId="16" fillId="0" borderId="5" xfId="0" applyFont="1" applyBorder="1" applyAlignment="1">
      <alignment wrapText="1"/>
    </xf>
    <xf numFmtId="0" fontId="12" fillId="0" borderId="0" xfId="0" applyFont="1" applyAlignment="1">
      <alignment horizontal="left" vertical="center"/>
    </xf>
    <xf numFmtId="0" fontId="16" fillId="9" borderId="5" xfId="0" applyFont="1" applyFill="1" applyBorder="1" applyAlignment="1">
      <alignment horizontal="center" wrapText="1"/>
    </xf>
    <xf numFmtId="0" fontId="16" fillId="10" borderId="5" xfId="0" applyFont="1" applyFill="1" applyBorder="1" applyAlignment="1">
      <alignment horizontal="center" wrapText="1"/>
    </xf>
    <xf numFmtId="0" fontId="16" fillId="5" borderId="5" xfId="0" applyFont="1" applyFill="1" applyBorder="1" applyAlignment="1">
      <alignment horizontal="center" wrapText="1"/>
    </xf>
    <xf numFmtId="0" fontId="16" fillId="6" borderId="5" xfId="0" applyFont="1" applyFill="1" applyBorder="1" applyAlignment="1">
      <alignment horizontal="center" wrapText="1"/>
    </xf>
    <xf numFmtId="165" fontId="2" fillId="0" borderId="0" xfId="0" applyNumberFormat="1" applyFont="1" applyAlignment="1">
      <alignment horizontal="center"/>
    </xf>
    <xf numFmtId="165" fontId="2" fillId="0" borderId="0" xfId="0" applyNumberFormat="1" applyFont="1"/>
    <xf numFmtId="0" fontId="2" fillId="0" borderId="0" xfId="0" applyFont="1"/>
    <xf numFmtId="2" fontId="17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164" fontId="18" fillId="0" borderId="0" xfId="0" applyNumberFormat="1" applyFont="1" applyAlignment="1">
      <alignment horizontal="center" vertical="center" wrapText="1"/>
    </xf>
    <xf numFmtId="0" fontId="19" fillId="0" borderId="0" xfId="0" applyFont="1" applyAlignment="1">
      <alignment horizontal="right" vertical="center" wrapText="1"/>
    </xf>
    <xf numFmtId="0" fontId="17" fillId="0" borderId="0" xfId="0" applyFont="1" applyAlignment="1">
      <alignment vertical="center" wrapText="1"/>
    </xf>
    <xf numFmtId="0" fontId="2" fillId="0" borderId="0" xfId="0" applyFont="1" applyAlignment="1">
      <alignment horizontal="left" wrapText="1"/>
    </xf>
    <xf numFmtId="0" fontId="20" fillId="0" borderId="0" xfId="0" applyFont="1"/>
    <xf numFmtId="0" fontId="2" fillId="0" borderId="0" xfId="0" applyFont="1" applyAlignment="1">
      <alignment horizontal="left"/>
    </xf>
    <xf numFmtId="0" fontId="2" fillId="0" borderId="21" xfId="0" applyFont="1" applyBorder="1" applyAlignment="1">
      <alignment horizontal="center" wrapText="1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 wrapText="1"/>
    </xf>
    <xf numFmtId="0" fontId="22" fillId="12" borderId="24" xfId="0" applyFont="1" applyFill="1" applyBorder="1" applyAlignment="1">
      <alignment horizontal="center"/>
    </xf>
    <xf numFmtId="0" fontId="22" fillId="12" borderId="28" xfId="0" applyFont="1" applyFill="1" applyBorder="1" applyAlignment="1">
      <alignment horizontal="center" wrapText="1"/>
    </xf>
    <xf numFmtId="0" fontId="22" fillId="12" borderId="29" xfId="0" applyFont="1" applyFill="1" applyBorder="1" applyAlignment="1">
      <alignment horizontal="center" wrapText="1"/>
    </xf>
    <xf numFmtId="0" fontId="22" fillId="12" borderId="30" xfId="0" applyFont="1" applyFill="1" applyBorder="1" applyAlignment="1">
      <alignment horizontal="center" wrapText="1"/>
    </xf>
    <xf numFmtId="0" fontId="22" fillId="12" borderId="31" xfId="0" applyFont="1" applyFill="1" applyBorder="1" applyAlignment="1">
      <alignment horizontal="center"/>
    </xf>
    <xf numFmtId="0" fontId="22" fillId="12" borderId="32" xfId="0" applyFont="1" applyFill="1" applyBorder="1" applyAlignment="1">
      <alignment horizontal="center" vertical="center"/>
    </xf>
    <xf numFmtId="0" fontId="22" fillId="12" borderId="33" xfId="0" applyFont="1" applyFill="1" applyBorder="1" applyAlignment="1">
      <alignment horizontal="center" vertical="center" wrapText="1"/>
    </xf>
    <xf numFmtId="0" fontId="22" fillId="12" borderId="5" xfId="0" applyFont="1" applyFill="1" applyBorder="1" applyAlignment="1">
      <alignment horizontal="center" vertical="center"/>
    </xf>
    <xf numFmtId="0" fontId="22" fillId="12" borderId="5" xfId="0" applyFont="1" applyFill="1" applyBorder="1" applyAlignment="1">
      <alignment horizontal="center" vertical="center" wrapText="1"/>
    </xf>
    <xf numFmtId="0" fontId="22" fillId="12" borderId="5" xfId="0" applyFont="1" applyFill="1" applyBorder="1" applyAlignment="1">
      <alignment horizontal="center" wrapText="1"/>
    </xf>
    <xf numFmtId="0" fontId="22" fillId="12" borderId="34" xfId="0" applyFont="1" applyFill="1" applyBorder="1" applyAlignment="1">
      <alignment horizontal="center" wrapText="1"/>
    </xf>
    <xf numFmtId="0" fontId="23" fillId="13" borderId="35" xfId="0" applyFont="1" applyFill="1" applyBorder="1" applyAlignment="1">
      <alignment horizontal="center"/>
    </xf>
    <xf numFmtId="0" fontId="23" fillId="13" borderId="36" xfId="0" applyFont="1" applyFill="1" applyBorder="1" applyAlignment="1">
      <alignment horizontal="center"/>
    </xf>
    <xf numFmtId="0" fontId="23" fillId="13" borderId="33" xfId="0" applyFont="1" applyFill="1" applyBorder="1" applyAlignment="1">
      <alignment horizontal="center"/>
    </xf>
    <xf numFmtId="0" fontId="2" fillId="0" borderId="5" xfId="0" applyFont="1" applyBorder="1"/>
    <xf numFmtId="0" fontId="24" fillId="0" borderId="0" xfId="0" applyFont="1" applyAlignment="1">
      <alignment wrapText="1"/>
    </xf>
    <xf numFmtId="0" fontId="1" fillId="4" borderId="5" xfId="0" applyFont="1" applyFill="1" applyBorder="1"/>
    <xf numFmtId="0" fontId="25" fillId="0" borderId="0" xfId="0" applyFont="1"/>
    <xf numFmtId="0" fontId="23" fillId="13" borderId="32" xfId="0" applyFont="1" applyFill="1" applyBorder="1" applyAlignment="1">
      <alignment horizontal="center"/>
    </xf>
    <xf numFmtId="0" fontId="23" fillId="13" borderId="38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left"/>
    </xf>
    <xf numFmtId="0" fontId="23" fillId="13" borderId="31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3" fillId="13" borderId="41" xfId="0" applyFont="1" applyFill="1" applyBorder="1" applyAlignment="1">
      <alignment horizontal="center"/>
    </xf>
    <xf numFmtId="0" fontId="23" fillId="13" borderId="42" xfId="0" applyFont="1" applyFill="1" applyBorder="1" applyAlignment="1">
      <alignment horizontal="center"/>
    </xf>
    <xf numFmtId="0" fontId="23" fillId="13" borderId="43" xfId="0" applyFont="1" applyFill="1" applyBorder="1" applyAlignment="1">
      <alignment horizontal="center"/>
    </xf>
    <xf numFmtId="0" fontId="23" fillId="13" borderId="47" xfId="0" applyFont="1" applyFill="1" applyBorder="1" applyAlignment="1">
      <alignment horizontal="center"/>
    </xf>
    <xf numFmtId="0" fontId="23" fillId="13" borderId="48" xfId="0" applyFont="1" applyFill="1" applyBorder="1" applyAlignment="1">
      <alignment horizontal="center"/>
    </xf>
    <xf numFmtId="0" fontId="23" fillId="13" borderId="49" xfId="0" applyFont="1" applyFill="1" applyBorder="1" applyAlignment="1">
      <alignment horizontal="center"/>
    </xf>
    <xf numFmtId="0" fontId="23" fillId="13" borderId="50" xfId="0" applyFont="1" applyFill="1" applyBorder="1" applyAlignment="1">
      <alignment horizontal="center"/>
    </xf>
    <xf numFmtId="0" fontId="23" fillId="13" borderId="51" xfId="0" applyFont="1" applyFill="1" applyBorder="1" applyAlignment="1">
      <alignment horizontal="center"/>
    </xf>
    <xf numFmtId="0" fontId="23" fillId="0" borderId="54" xfId="0" applyFont="1" applyBorder="1" applyAlignment="1">
      <alignment horizontal="center"/>
    </xf>
    <xf numFmtId="0" fontId="23" fillId="0" borderId="55" xfId="0" applyFont="1" applyBorder="1" applyAlignment="1">
      <alignment horizontal="center"/>
    </xf>
    <xf numFmtId="0" fontId="23" fillId="0" borderId="56" xfId="0" applyFont="1" applyBorder="1" applyAlignment="1">
      <alignment horizontal="center"/>
    </xf>
    <xf numFmtId="0" fontId="2" fillId="0" borderId="29" xfId="0" applyFont="1" applyBorder="1" applyAlignment="1">
      <alignment horizontal="center" wrapText="1"/>
    </xf>
    <xf numFmtId="0" fontId="2" fillId="0" borderId="30" xfId="0" applyFont="1" applyBorder="1" applyAlignment="1">
      <alignment horizontal="center" wrapText="1"/>
    </xf>
    <xf numFmtId="0" fontId="23" fillId="0" borderId="57" xfId="0" applyFont="1" applyBorder="1" applyAlignment="1">
      <alignment horizontal="center"/>
    </xf>
    <xf numFmtId="0" fontId="23" fillId="0" borderId="17" xfId="0" applyFont="1" applyBorder="1" applyAlignment="1">
      <alignment horizontal="center"/>
    </xf>
    <xf numFmtId="0" fontId="23" fillId="0" borderId="58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2" fillId="0" borderId="37" xfId="0" applyFont="1" applyBorder="1" applyAlignment="1">
      <alignment horizontal="center" wrapText="1"/>
    </xf>
    <xf numFmtId="0" fontId="23" fillId="0" borderId="59" xfId="0" applyFont="1" applyBorder="1" applyAlignment="1">
      <alignment horizontal="center"/>
    </xf>
    <xf numFmtId="0" fontId="23" fillId="0" borderId="60" xfId="0" applyFont="1" applyBorder="1" applyAlignment="1">
      <alignment horizontal="center"/>
    </xf>
    <xf numFmtId="0" fontId="23" fillId="0" borderId="21" xfId="0" applyFont="1" applyBorder="1" applyAlignment="1">
      <alignment horizontal="center"/>
    </xf>
    <xf numFmtId="0" fontId="23" fillId="0" borderId="61" xfId="0" applyFont="1" applyBorder="1" applyAlignment="1">
      <alignment horizontal="center"/>
    </xf>
    <xf numFmtId="0" fontId="23" fillId="0" borderId="62" xfId="0" applyFont="1" applyBorder="1" applyAlignment="1">
      <alignment horizontal="center"/>
    </xf>
    <xf numFmtId="0" fontId="23" fillId="0" borderId="63" xfId="0" applyFont="1" applyBorder="1" applyAlignment="1">
      <alignment horizontal="center"/>
    </xf>
    <xf numFmtId="0" fontId="23" fillId="14" borderId="64" xfId="0" applyFont="1" applyFill="1" applyBorder="1" applyAlignment="1">
      <alignment horizontal="center"/>
    </xf>
    <xf numFmtId="0" fontId="23" fillId="14" borderId="44" xfId="0" applyFont="1" applyFill="1" applyBorder="1" applyAlignment="1">
      <alignment horizontal="center"/>
    </xf>
    <xf numFmtId="0" fontId="23" fillId="14" borderId="45" xfId="0" applyFont="1" applyFill="1" applyBorder="1" applyAlignment="1">
      <alignment horizontal="center"/>
    </xf>
    <xf numFmtId="0" fontId="23" fillId="14" borderId="35" xfId="0" applyFont="1" applyFill="1" applyBorder="1" applyAlignment="1">
      <alignment horizontal="center"/>
    </xf>
    <xf numFmtId="0" fontId="23" fillId="14" borderId="36" xfId="0" applyFont="1" applyFill="1" applyBorder="1" applyAlignment="1">
      <alignment horizontal="center"/>
    </xf>
    <xf numFmtId="0" fontId="23" fillId="14" borderId="33" xfId="0" applyFont="1" applyFill="1" applyBorder="1" applyAlignment="1">
      <alignment horizontal="center"/>
    </xf>
    <xf numFmtId="0" fontId="23" fillId="14" borderId="66" xfId="0" applyFont="1" applyFill="1" applyBorder="1" applyAlignment="1">
      <alignment horizontal="center"/>
    </xf>
    <xf numFmtId="0" fontId="23" fillId="14" borderId="67" xfId="0" applyFont="1" applyFill="1" applyBorder="1" applyAlignment="1">
      <alignment horizontal="center"/>
    </xf>
    <xf numFmtId="0" fontId="23" fillId="14" borderId="68" xfId="0" applyFont="1" applyFill="1" applyBorder="1" applyAlignment="1">
      <alignment horizontal="center"/>
    </xf>
    <xf numFmtId="0" fontId="23" fillId="14" borderId="69" xfId="0" applyFont="1" applyFill="1" applyBorder="1" applyAlignment="1">
      <alignment horizontal="center"/>
    </xf>
    <xf numFmtId="0" fontId="2" fillId="12" borderId="47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 wrapText="1"/>
    </xf>
    <xf numFmtId="0" fontId="2" fillId="0" borderId="66" xfId="0" applyFont="1" applyBorder="1" applyAlignment="1">
      <alignment horizontal="center" vertical="center"/>
    </xf>
    <xf numFmtId="0" fontId="2" fillId="12" borderId="2" xfId="0" applyFont="1" applyFill="1" applyBorder="1" applyAlignment="1">
      <alignment wrapText="1"/>
    </xf>
    <xf numFmtId="0" fontId="1" fillId="12" borderId="48" xfId="0" applyFont="1" applyFill="1" applyBorder="1" applyAlignment="1">
      <alignment horizontal="center" wrapText="1"/>
    </xf>
    <xf numFmtId="0" fontId="27" fillId="0" borderId="0" xfId="0" applyFont="1" applyAlignment="1">
      <alignment horizontal="right" wrapText="1"/>
    </xf>
    <xf numFmtId="0" fontId="28" fillId="0" borderId="0" xfId="0" applyFont="1" applyAlignment="1">
      <alignment horizontal="right" vertical="center" wrapText="1"/>
    </xf>
    <xf numFmtId="166" fontId="29" fillId="0" borderId="0" xfId="0" applyNumberFormat="1" applyFont="1" applyAlignment="1">
      <alignment horizontal="center" vertical="center" wrapText="1"/>
    </xf>
    <xf numFmtId="0" fontId="29" fillId="0" borderId="0" xfId="0" applyFont="1" applyAlignment="1">
      <alignment horizontal="left" vertical="center" wrapText="1"/>
    </xf>
    <xf numFmtId="0" fontId="30" fillId="0" borderId="0" xfId="0" applyFont="1" applyAlignment="1">
      <alignment horizontal="right" vertical="center" wrapText="1"/>
    </xf>
    <xf numFmtId="0" fontId="30" fillId="0" borderId="0" xfId="0" applyFont="1" applyAlignment="1">
      <alignment vertical="center" wrapText="1"/>
    </xf>
    <xf numFmtId="0" fontId="30" fillId="0" borderId="0" xfId="0" applyFont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65" fontId="2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31" fillId="10" borderId="5" xfId="0" applyFont="1" applyFill="1" applyBorder="1" applyAlignment="1">
      <alignment horizontal="center" vertical="center" wrapText="1"/>
    </xf>
    <xf numFmtId="0" fontId="32" fillId="10" borderId="5" xfId="0" applyFont="1" applyFill="1" applyBorder="1" applyAlignment="1">
      <alignment horizontal="center" vertical="center" wrapText="1"/>
    </xf>
    <xf numFmtId="0" fontId="2" fillId="10" borderId="5" xfId="0" applyFont="1" applyFill="1" applyBorder="1" applyAlignment="1">
      <alignment horizontal="center" wrapText="1"/>
    </xf>
    <xf numFmtId="0" fontId="1" fillId="10" borderId="5" xfId="0" applyFont="1" applyFill="1" applyBorder="1" applyAlignment="1">
      <alignment horizontal="right" vertical="center" wrapText="1"/>
    </xf>
    <xf numFmtId="0" fontId="33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33" fillId="0" borderId="0" xfId="0" applyFont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3" fillId="0" borderId="77" xfId="0" applyFont="1" applyBorder="1" applyAlignment="1">
      <alignment horizontal="center" wrapText="1"/>
    </xf>
    <xf numFmtId="0" fontId="13" fillId="0" borderId="77" xfId="0" applyFont="1" applyBorder="1" applyAlignment="1">
      <alignment horizontal="left" wrapText="1"/>
    </xf>
    <xf numFmtId="166" fontId="2" fillId="0" borderId="77" xfId="0" applyNumberFormat="1" applyFont="1" applyBorder="1" applyAlignment="1">
      <alignment wrapText="1"/>
    </xf>
    <xf numFmtId="0" fontId="34" fillId="0" borderId="77" xfId="0" applyFont="1" applyBorder="1" applyAlignment="1">
      <alignment wrapText="1"/>
    </xf>
    <xf numFmtId="0" fontId="2" fillId="0" borderId="77" xfId="0" applyFont="1" applyBorder="1" applyAlignment="1">
      <alignment horizontal="center" wrapText="1"/>
    </xf>
    <xf numFmtId="0" fontId="13" fillId="0" borderId="0" xfId="0" applyFont="1" applyAlignment="1">
      <alignment horizontal="left" wrapText="1"/>
    </xf>
    <xf numFmtId="167" fontId="2" fillId="0" borderId="0" xfId="0" applyNumberFormat="1" applyFont="1" applyAlignment="1">
      <alignment wrapText="1"/>
    </xf>
    <xf numFmtId="0" fontId="34" fillId="0" borderId="0" xfId="0" applyFont="1" applyAlignment="1">
      <alignment wrapText="1"/>
    </xf>
    <xf numFmtId="0" fontId="34" fillId="12" borderId="2" xfId="0" applyFont="1" applyFill="1" applyBorder="1" applyAlignment="1">
      <alignment wrapText="1"/>
    </xf>
    <xf numFmtId="0" fontId="2" fillId="12" borderId="48" xfId="0" applyFont="1" applyFill="1" applyBorder="1" applyAlignment="1">
      <alignment horizontal="center" wrapText="1"/>
    </xf>
    <xf numFmtId="0" fontId="35" fillId="0" borderId="0" xfId="0" applyFont="1"/>
    <xf numFmtId="0" fontId="36" fillId="0" borderId="0" xfId="0" applyFont="1" applyAlignment="1">
      <alignment horizontal="right" wrapText="1"/>
    </xf>
    <xf numFmtId="166" fontId="2" fillId="0" borderId="0" xfId="0" applyNumberFormat="1" applyFont="1" applyAlignment="1">
      <alignment vertical="center" wrapText="1"/>
    </xf>
    <xf numFmtId="168" fontId="2" fillId="0" borderId="0" xfId="0" applyNumberFormat="1" applyFont="1"/>
    <xf numFmtId="0" fontId="2" fillId="0" borderId="22" xfId="0" applyFont="1" applyBorder="1" applyAlignment="1">
      <alignment horizontal="right"/>
    </xf>
    <xf numFmtId="166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6" fontId="36" fillId="0" borderId="0" xfId="0" applyNumberFormat="1" applyFont="1" applyAlignment="1">
      <alignment horizontal="center"/>
    </xf>
    <xf numFmtId="166" fontId="36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right" wrapText="1"/>
    </xf>
    <xf numFmtId="166" fontId="1" fillId="0" borderId="0" xfId="0" applyNumberFormat="1" applyFont="1" applyAlignment="1">
      <alignment wrapText="1"/>
    </xf>
    <xf numFmtId="0" fontId="37" fillId="9" borderId="47" xfId="0" applyFont="1" applyFill="1" applyBorder="1" applyAlignment="1">
      <alignment horizontal="right"/>
    </xf>
    <xf numFmtId="166" fontId="37" fillId="9" borderId="2" xfId="0" applyNumberFormat="1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 wrapText="1"/>
    </xf>
    <xf numFmtId="166" fontId="37" fillId="9" borderId="2" xfId="0" applyNumberFormat="1" applyFont="1" applyFill="1" applyBorder="1" applyAlignment="1">
      <alignment wrapText="1"/>
    </xf>
    <xf numFmtId="0" fontId="37" fillId="9" borderId="2" xfId="0" applyFont="1" applyFill="1" applyBorder="1" applyAlignment="1">
      <alignment wrapText="1"/>
    </xf>
    <xf numFmtId="0" fontId="37" fillId="9" borderId="2" xfId="0" applyFont="1" applyFill="1" applyBorder="1" applyAlignment="1">
      <alignment horizontal="center" wrapText="1"/>
    </xf>
    <xf numFmtId="0" fontId="2" fillId="9" borderId="48" xfId="0" applyFont="1" applyFill="1" applyBorder="1" applyAlignment="1">
      <alignment horizontal="center" wrapText="1"/>
    </xf>
    <xf numFmtId="2" fontId="37" fillId="9" borderId="2" xfId="0" applyNumberFormat="1" applyFont="1" applyFill="1" applyBorder="1" applyAlignment="1">
      <alignment horizontal="center"/>
    </xf>
    <xf numFmtId="0" fontId="1" fillId="9" borderId="2" xfId="0" applyFont="1" applyFill="1" applyBorder="1" applyAlignment="1">
      <alignment wrapText="1"/>
    </xf>
    <xf numFmtId="0" fontId="2" fillId="9" borderId="2" xfId="0" applyFont="1" applyFill="1" applyBorder="1" applyAlignment="1">
      <alignment wrapText="1"/>
    </xf>
    <xf numFmtId="0" fontId="38" fillId="15" borderId="79" xfId="0" applyFont="1" applyFill="1" applyBorder="1" applyAlignment="1">
      <alignment horizontal="left" wrapText="1"/>
    </xf>
    <xf numFmtId="167" fontId="16" fillId="15" borderId="79" xfId="0" applyNumberFormat="1" applyFont="1" applyFill="1" applyBorder="1" applyAlignment="1">
      <alignment wrapText="1"/>
    </xf>
    <xf numFmtId="0" fontId="39" fillId="0" borderId="77" xfId="0" applyFont="1" applyBorder="1" applyAlignment="1">
      <alignment wrapText="1"/>
    </xf>
    <xf numFmtId="166" fontId="2" fillId="0" borderId="0" xfId="0" applyNumberFormat="1" applyFont="1" applyAlignment="1">
      <alignment wrapText="1"/>
    </xf>
    <xf numFmtId="0" fontId="36" fillId="0" borderId="22" xfId="0" applyFont="1" applyBorder="1" applyAlignment="1">
      <alignment horizontal="right"/>
    </xf>
    <xf numFmtId="0" fontId="1" fillId="9" borderId="2" xfId="0" applyFont="1" applyFill="1" applyBorder="1" applyAlignment="1">
      <alignment horizontal="center" wrapText="1"/>
    </xf>
    <xf numFmtId="0" fontId="20" fillId="9" borderId="2" xfId="0" applyFont="1" applyFill="1" applyBorder="1" applyAlignment="1">
      <alignment wrapText="1"/>
    </xf>
    <xf numFmtId="0" fontId="20" fillId="9" borderId="2" xfId="0" applyFont="1" applyFill="1" applyBorder="1" applyAlignment="1">
      <alignment horizontal="center" wrapText="1"/>
    </xf>
    <xf numFmtId="0" fontId="37" fillId="9" borderId="44" xfId="0" applyFont="1" applyFill="1" applyBorder="1" applyAlignment="1">
      <alignment horizontal="right"/>
    </xf>
    <xf numFmtId="2" fontId="37" fillId="9" borderId="80" xfId="0" applyNumberFormat="1" applyFont="1" applyFill="1" applyBorder="1" applyAlignment="1">
      <alignment horizontal="center"/>
    </xf>
    <xf numFmtId="0" fontId="2" fillId="9" borderId="80" xfId="0" applyFont="1" applyFill="1" applyBorder="1" applyAlignment="1">
      <alignment horizontal="center"/>
    </xf>
    <xf numFmtId="0" fontId="1" fillId="9" borderId="80" xfId="0" applyFont="1" applyFill="1" applyBorder="1" applyAlignment="1">
      <alignment horizontal="center"/>
    </xf>
    <xf numFmtId="0" fontId="1" fillId="9" borderId="80" xfId="0" applyFont="1" applyFill="1" applyBorder="1" applyAlignment="1">
      <alignment horizontal="center" wrapText="1"/>
    </xf>
    <xf numFmtId="0" fontId="37" fillId="9" borderId="80" xfId="0" applyFont="1" applyFill="1" applyBorder="1" applyAlignment="1">
      <alignment horizontal="center" wrapText="1"/>
    </xf>
    <xf numFmtId="0" fontId="1" fillId="9" borderId="80" xfId="0" applyFont="1" applyFill="1" applyBorder="1" applyAlignment="1">
      <alignment wrapText="1"/>
    </xf>
    <xf numFmtId="0" fontId="2" fillId="9" borderId="80" xfId="0" applyFont="1" applyFill="1" applyBorder="1" applyAlignment="1">
      <alignment wrapText="1"/>
    </xf>
    <xf numFmtId="0" fontId="2" fillId="9" borderId="80" xfId="0" applyFont="1" applyFill="1" applyBorder="1" applyAlignment="1">
      <alignment horizontal="center" wrapText="1"/>
    </xf>
    <xf numFmtId="0" fontId="2" fillId="9" borderId="45" xfId="0" applyFont="1" applyFill="1" applyBorder="1" applyAlignment="1">
      <alignment horizontal="center" wrapText="1"/>
    </xf>
    <xf numFmtId="2" fontId="2" fillId="0" borderId="0" xfId="0" applyNumberFormat="1" applyFont="1" applyAlignment="1">
      <alignment wrapText="1"/>
    </xf>
    <xf numFmtId="0" fontId="37" fillId="9" borderId="47" xfId="0" applyFont="1" applyFill="1" applyBorder="1" applyAlignment="1">
      <alignment horizontal="center"/>
    </xf>
    <xf numFmtId="165" fontId="37" fillId="9" borderId="2" xfId="0" applyNumberFormat="1" applyFont="1" applyFill="1" applyBorder="1" applyAlignment="1">
      <alignment wrapText="1"/>
    </xf>
    <xf numFmtId="0" fontId="2" fillId="0" borderId="77" xfId="0" applyFont="1" applyBorder="1" applyAlignment="1">
      <alignment wrapText="1"/>
    </xf>
    <xf numFmtId="0" fontId="20" fillId="0" borderId="23" xfId="0" applyFont="1" applyBorder="1" applyAlignment="1">
      <alignment horizontal="center" wrapText="1"/>
    </xf>
    <xf numFmtId="2" fontId="1" fillId="9" borderId="2" xfId="0" applyNumberFormat="1" applyFont="1" applyFill="1" applyBorder="1" applyAlignment="1">
      <alignment horizontal="center"/>
    </xf>
    <xf numFmtId="0" fontId="20" fillId="9" borderId="48" xfId="0" applyFont="1" applyFill="1" applyBorder="1" applyAlignment="1">
      <alignment horizontal="center" wrapText="1"/>
    </xf>
    <xf numFmtId="0" fontId="2" fillId="0" borderId="77" xfId="0" applyFont="1" applyBorder="1" applyAlignment="1">
      <alignment horizontal="right" wrapText="1"/>
    </xf>
    <xf numFmtId="0" fontId="20" fillId="0" borderId="77" xfId="0" applyFont="1" applyBorder="1" applyAlignment="1">
      <alignment wrapText="1"/>
    </xf>
    <xf numFmtId="0" fontId="20" fillId="0" borderId="77" xfId="0" applyFont="1" applyBorder="1" applyAlignment="1">
      <alignment horizontal="center" wrapText="1"/>
    </xf>
    <xf numFmtId="0" fontId="20" fillId="0" borderId="21" xfId="0" applyFont="1" applyBorder="1" applyAlignment="1">
      <alignment horizontal="center" wrapText="1"/>
    </xf>
    <xf numFmtId="167" fontId="2" fillId="0" borderId="0" xfId="0" applyNumberFormat="1" applyFont="1" applyAlignment="1">
      <alignment horizontal="right" wrapText="1"/>
    </xf>
    <xf numFmtId="166" fontId="2" fillId="0" borderId="0" xfId="0" applyNumberFormat="1" applyFont="1" applyAlignment="1">
      <alignment horizontal="right" wrapText="1"/>
    </xf>
    <xf numFmtId="0" fontId="36" fillId="0" borderId="0" xfId="0" applyFont="1" applyAlignment="1">
      <alignment horizontal="right" vertical="center" wrapText="1"/>
    </xf>
    <xf numFmtId="0" fontId="20" fillId="0" borderId="23" xfId="0" applyFont="1" applyBorder="1" applyAlignment="1">
      <alignment horizontal="center" vertical="center" wrapText="1"/>
    </xf>
    <xf numFmtId="2" fontId="2" fillId="0" borderId="0" xfId="0" applyNumberFormat="1" applyFont="1" applyAlignment="1">
      <alignment horizontal="center" wrapText="1"/>
    </xf>
    <xf numFmtId="0" fontId="36" fillId="0" borderId="0" xfId="0" applyFont="1" applyAlignment="1">
      <alignment horizontal="right"/>
    </xf>
    <xf numFmtId="0" fontId="37" fillId="9" borderId="2" xfId="0" applyFont="1" applyFill="1" applyBorder="1" applyAlignment="1">
      <alignment horizontal="center"/>
    </xf>
    <xf numFmtId="0" fontId="37" fillId="9" borderId="48" xfId="0" applyFont="1" applyFill="1" applyBorder="1" applyAlignment="1">
      <alignment horizontal="center" wrapText="1"/>
    </xf>
    <xf numFmtId="0" fontId="41" fillId="9" borderId="47" xfId="0" applyFont="1" applyFill="1" applyBorder="1" applyAlignment="1">
      <alignment horizontal="right"/>
    </xf>
    <xf numFmtId="2" fontId="2" fillId="0" borderId="77" xfId="0" applyNumberFormat="1" applyFont="1" applyBorder="1" applyAlignment="1">
      <alignment wrapText="1"/>
    </xf>
    <xf numFmtId="166" fontId="2" fillId="0" borderId="77" xfId="0" applyNumberFormat="1" applyFont="1" applyBorder="1" applyAlignment="1">
      <alignment horizontal="right" wrapText="1"/>
    </xf>
    <xf numFmtId="0" fontId="16" fillId="0" borderId="0" xfId="0" applyFont="1" applyAlignment="1">
      <alignment horizontal="center" wrapText="1"/>
    </xf>
    <xf numFmtId="0" fontId="42" fillId="0" borderId="0" xfId="0" applyFont="1"/>
    <xf numFmtId="168" fontId="37" fillId="9" borderId="2" xfId="0" applyNumberFormat="1" applyFont="1" applyFill="1" applyBorder="1" applyAlignment="1">
      <alignment wrapText="1"/>
    </xf>
    <xf numFmtId="0" fontId="13" fillId="0" borderId="0" xfId="0" applyFont="1" applyAlignment="1">
      <alignment wrapText="1"/>
    </xf>
    <xf numFmtId="0" fontId="43" fillId="0" borderId="0" xfId="0" applyFont="1" applyAlignment="1">
      <alignment horizontal="center"/>
    </xf>
    <xf numFmtId="0" fontId="43" fillId="0" borderId="0" xfId="0" applyFont="1"/>
    <xf numFmtId="0" fontId="44" fillId="0" borderId="5" xfId="0" applyFont="1" applyBorder="1" applyAlignment="1">
      <alignment horizontal="center" wrapText="1"/>
    </xf>
    <xf numFmtId="0" fontId="45" fillId="0" borderId="5" xfId="0" applyFont="1" applyBorder="1" applyAlignment="1">
      <alignment horizontal="center" vertical="center" wrapText="1"/>
    </xf>
    <xf numFmtId="0" fontId="45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44" fillId="0" borderId="5" xfId="0" applyFont="1" applyBorder="1" applyAlignment="1">
      <alignment horizontal="center" vertical="center" wrapText="1"/>
    </xf>
    <xf numFmtId="14" fontId="44" fillId="0" borderId="5" xfId="0" applyNumberFormat="1" applyFont="1" applyBorder="1" applyAlignment="1">
      <alignment horizontal="center" vertical="center" wrapText="1"/>
    </xf>
    <xf numFmtId="14" fontId="44" fillId="0" borderId="0" xfId="0" applyNumberFormat="1" applyFont="1" applyAlignment="1">
      <alignment horizontal="center" vertical="center" wrapText="1"/>
    </xf>
    <xf numFmtId="49" fontId="44" fillId="0" borderId="5" xfId="0" applyNumberFormat="1" applyFont="1" applyBorder="1" applyAlignment="1">
      <alignment horizontal="center" vertical="center" wrapText="1"/>
    </xf>
    <xf numFmtId="49" fontId="44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wrapText="1"/>
    </xf>
    <xf numFmtId="49" fontId="2" fillId="0" borderId="0" xfId="0" applyNumberFormat="1" applyFont="1" applyAlignment="1">
      <alignment wrapText="1"/>
    </xf>
    <xf numFmtId="49" fontId="2" fillId="0" borderId="0" xfId="0" applyNumberFormat="1" applyFont="1"/>
    <xf numFmtId="49" fontId="43" fillId="0" borderId="5" xfId="0" applyNumberFormat="1" applyFont="1" applyBorder="1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  <xf numFmtId="2" fontId="44" fillId="0" borderId="5" xfId="0" applyNumberFormat="1" applyFont="1" applyBorder="1" applyAlignment="1">
      <alignment horizontal="center" vertical="center" wrapText="1"/>
    </xf>
    <xf numFmtId="2" fontId="44" fillId="0" borderId="0" xfId="0" applyNumberFormat="1" applyFont="1" applyAlignment="1">
      <alignment horizontal="center" vertical="center" wrapText="1"/>
    </xf>
    <xf numFmtId="166" fontId="44" fillId="0" borderId="5" xfId="0" applyNumberFormat="1" applyFont="1" applyBorder="1" applyAlignment="1">
      <alignment horizontal="center" vertical="center" wrapText="1"/>
    </xf>
    <xf numFmtId="165" fontId="44" fillId="0" borderId="5" xfId="0" applyNumberFormat="1" applyFont="1" applyBorder="1" applyAlignment="1">
      <alignment horizontal="center" vertical="center" wrapText="1"/>
    </xf>
    <xf numFmtId="165" fontId="44" fillId="0" borderId="0" xfId="0" applyNumberFormat="1" applyFont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168" fontId="44" fillId="0" borderId="5" xfId="0" applyNumberFormat="1" applyFont="1" applyBorder="1" applyAlignment="1">
      <alignment horizontal="center" vertical="center" wrapText="1"/>
    </xf>
    <xf numFmtId="168" fontId="44" fillId="0" borderId="0" xfId="0" applyNumberFormat="1" applyFont="1" applyAlignment="1">
      <alignment horizontal="center" vertical="center" wrapText="1"/>
    </xf>
    <xf numFmtId="0" fontId="1" fillId="0" borderId="5" xfId="0" applyFont="1" applyBorder="1" applyAlignment="1">
      <alignment horizontal="right"/>
    </xf>
    <xf numFmtId="0" fontId="1" fillId="0" borderId="86" xfId="0" applyFont="1" applyBorder="1" applyAlignment="1">
      <alignment horizontal="center"/>
    </xf>
    <xf numFmtId="0" fontId="2" fillId="0" borderId="86" xfId="0" applyFont="1" applyBorder="1"/>
    <xf numFmtId="0" fontId="1" fillId="0" borderId="5" xfId="0" applyFont="1" applyBorder="1" applyAlignment="1">
      <alignment horizontal="center"/>
    </xf>
    <xf numFmtId="0" fontId="2" fillId="0" borderId="86" xfId="0" applyFont="1" applyBorder="1" applyAlignment="1">
      <alignment horizontal="center"/>
    </xf>
    <xf numFmtId="0" fontId="2" fillId="0" borderId="58" xfId="0" applyFont="1" applyBorder="1"/>
    <xf numFmtId="0" fontId="2" fillId="0" borderId="5" xfId="0" applyFont="1" applyBorder="1" applyAlignment="1">
      <alignment horizontal="left"/>
    </xf>
    <xf numFmtId="0" fontId="2" fillId="0" borderId="17" xfId="0" applyFont="1" applyBorder="1" applyAlignment="1">
      <alignment horizontal="center"/>
    </xf>
    <xf numFmtId="0" fontId="20" fillId="4" borderId="5" xfId="0" applyFont="1" applyFill="1" applyBorder="1" applyAlignment="1">
      <alignment horizontal="center"/>
    </xf>
    <xf numFmtId="2" fontId="2" fillId="4" borderId="5" xfId="0" applyNumberFormat="1" applyFont="1" applyFill="1" applyBorder="1" applyAlignment="1">
      <alignment horizontal="center"/>
    </xf>
    <xf numFmtId="0" fontId="20" fillId="4" borderId="33" xfId="0" applyFont="1" applyFill="1" applyBorder="1" applyAlignment="1">
      <alignment horizontal="center"/>
    </xf>
    <xf numFmtId="0" fontId="2" fillId="4" borderId="36" xfId="0" applyFont="1" applyFill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0" fontId="2" fillId="0" borderId="5" xfId="0" applyFont="1" applyBorder="1" applyAlignment="1">
      <alignment horizontal="left" wrapText="1"/>
    </xf>
    <xf numFmtId="0" fontId="20" fillId="0" borderId="5" xfId="0" applyFont="1" applyBorder="1" applyAlignment="1">
      <alignment horizontal="center"/>
    </xf>
    <xf numFmtId="2" fontId="20" fillId="0" borderId="5" xfId="0" applyNumberFormat="1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87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165" fontId="2" fillId="0" borderId="29" xfId="0" applyNumberFormat="1" applyFont="1" applyBorder="1" applyAlignment="1">
      <alignment horizontal="center" vertical="center"/>
    </xf>
    <xf numFmtId="165" fontId="2" fillId="0" borderId="30" xfId="0" applyNumberFormat="1" applyFont="1" applyBorder="1" applyAlignment="1">
      <alignment horizontal="center" vertical="center"/>
    </xf>
    <xf numFmtId="165" fontId="20" fillId="0" borderId="5" xfId="0" applyNumberFormat="1" applyFont="1" applyBorder="1" applyAlignment="1">
      <alignment horizontal="center" vertical="center"/>
    </xf>
    <xf numFmtId="165" fontId="20" fillId="0" borderId="37" xfId="0" applyNumberFormat="1" applyFont="1" applyBorder="1" applyAlignment="1">
      <alignment horizontal="center" vertical="center"/>
    </xf>
    <xf numFmtId="165" fontId="2" fillId="0" borderId="5" xfId="0" applyNumberFormat="1" applyFont="1" applyBorder="1" applyAlignment="1">
      <alignment horizontal="center" vertical="center"/>
    </xf>
    <xf numFmtId="165" fontId="2" fillId="0" borderId="37" xfId="0" applyNumberFormat="1" applyFont="1" applyBorder="1" applyAlignment="1">
      <alignment horizontal="center" vertical="center"/>
    </xf>
    <xf numFmtId="0" fontId="2" fillId="0" borderId="88" xfId="0" applyFont="1" applyBorder="1" applyAlignment="1">
      <alignment horizontal="center" vertical="center"/>
    </xf>
    <xf numFmtId="165" fontId="2" fillId="0" borderId="39" xfId="0" applyNumberFormat="1" applyFont="1" applyBorder="1" applyAlignment="1">
      <alignment horizontal="center" vertical="center"/>
    </xf>
    <xf numFmtId="165" fontId="2" fillId="0" borderId="53" xfId="0" applyNumberFormat="1" applyFont="1" applyBorder="1" applyAlignment="1">
      <alignment horizontal="center" vertical="center"/>
    </xf>
    <xf numFmtId="165" fontId="20" fillId="0" borderId="5" xfId="0" applyNumberFormat="1" applyFont="1" applyBorder="1" applyAlignment="1">
      <alignment horizontal="center"/>
    </xf>
    <xf numFmtId="165" fontId="2" fillId="16" borderId="29" xfId="0" applyNumberFormat="1" applyFont="1" applyFill="1" applyBorder="1" applyAlignment="1">
      <alignment horizontal="center" vertical="center"/>
    </xf>
    <xf numFmtId="165" fontId="2" fillId="16" borderId="30" xfId="0" applyNumberFormat="1" applyFont="1" applyFill="1" applyBorder="1" applyAlignment="1">
      <alignment horizontal="center" vertical="center"/>
    </xf>
    <xf numFmtId="0" fontId="46" fillId="0" borderId="0" xfId="0" applyFont="1"/>
    <xf numFmtId="165" fontId="2" fillId="16" borderId="5" xfId="0" applyNumberFormat="1" applyFont="1" applyFill="1" applyBorder="1" applyAlignment="1">
      <alignment horizontal="center" vertical="center"/>
    </xf>
    <xf numFmtId="165" fontId="2" fillId="16" borderId="37" xfId="0" applyNumberFormat="1" applyFont="1" applyFill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2" fillId="16" borderId="66" xfId="0" applyFont="1" applyFill="1" applyBorder="1" applyAlignment="1">
      <alignment horizontal="center" vertical="center"/>
    </xf>
    <xf numFmtId="0" fontId="2" fillId="16" borderId="88" xfId="0" applyFont="1" applyFill="1" applyBorder="1" applyAlignment="1">
      <alignment horizontal="center" vertical="center"/>
    </xf>
    <xf numFmtId="165" fontId="2" fillId="16" borderId="39" xfId="0" applyNumberFormat="1" applyFont="1" applyFill="1" applyBorder="1" applyAlignment="1">
      <alignment horizontal="center" vertical="center"/>
    </xf>
    <xf numFmtId="165" fontId="2" fillId="16" borderId="53" xfId="0" applyNumberFormat="1" applyFont="1" applyFill="1" applyBorder="1" applyAlignment="1">
      <alignment horizontal="center" vertical="center"/>
    </xf>
    <xf numFmtId="165" fontId="20" fillId="0" borderId="0" xfId="0" applyNumberFormat="1" applyFont="1" applyAlignment="1">
      <alignment horizontal="center" vertical="center"/>
    </xf>
    <xf numFmtId="165" fontId="47" fillId="0" borderId="5" xfId="0" applyNumberFormat="1" applyFont="1" applyBorder="1" applyAlignment="1">
      <alignment horizontal="center" vertical="center"/>
    </xf>
    <xf numFmtId="165" fontId="47" fillId="0" borderId="3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10" borderId="46" xfId="0" applyFont="1" applyFill="1" applyBorder="1" applyAlignment="1">
      <alignment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6" fillId="0" borderId="29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58" xfId="0" applyFont="1" applyBorder="1" applyAlignment="1">
      <alignment horizontal="center" vertical="center" wrapText="1"/>
    </xf>
    <xf numFmtId="0" fontId="2" fillId="0" borderId="58" xfId="0" applyFont="1" applyBorder="1" applyAlignment="1">
      <alignment horizontal="center" vertical="center"/>
    </xf>
    <xf numFmtId="2" fontId="2" fillId="0" borderId="39" xfId="0" applyNumberFormat="1" applyFont="1" applyBorder="1" applyAlignment="1">
      <alignment horizontal="center" vertical="center"/>
    </xf>
    <xf numFmtId="0" fontId="26" fillId="0" borderId="37" xfId="0" applyFont="1" applyBorder="1" applyAlignment="1">
      <alignment horizontal="center" vertical="center"/>
    </xf>
    <xf numFmtId="0" fontId="26" fillId="0" borderId="58" xfId="0" applyFont="1" applyBorder="1" applyAlignment="1">
      <alignment horizontal="center" vertical="center"/>
    </xf>
    <xf numFmtId="0" fontId="26" fillId="0" borderId="5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17" borderId="5" xfId="0" applyFont="1" applyFill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2" fillId="0" borderId="66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/>
    </xf>
    <xf numFmtId="169" fontId="2" fillId="4" borderId="39" xfId="0" applyNumberFormat="1" applyFont="1" applyFill="1" applyBorder="1" applyAlignment="1">
      <alignment horizontal="center" vertical="center"/>
    </xf>
    <xf numFmtId="0" fontId="1" fillId="0" borderId="5" xfId="0" applyFont="1" applyBorder="1"/>
    <xf numFmtId="0" fontId="48" fillId="0" borderId="95" xfId="0" applyFont="1" applyBorder="1" applyAlignment="1">
      <alignment wrapText="1"/>
    </xf>
    <xf numFmtId="0" fontId="2" fillId="18" borderId="2" xfId="0" applyFont="1" applyFill="1" applyBorder="1"/>
    <xf numFmtId="0" fontId="2" fillId="0" borderId="95" xfId="0" applyFont="1" applyBorder="1"/>
    <xf numFmtId="0" fontId="2" fillId="0" borderId="96" xfId="0" applyFont="1" applyBorder="1"/>
    <xf numFmtId="0" fontId="48" fillId="0" borderId="57" xfId="0" applyFont="1" applyBorder="1" applyAlignment="1">
      <alignment horizontal="center"/>
    </xf>
    <xf numFmtId="0" fontId="2" fillId="0" borderId="24" xfId="0" applyFont="1" applyBorder="1" applyAlignment="1">
      <alignment horizontal="center" wrapText="1"/>
    </xf>
    <xf numFmtId="0" fontId="2" fillId="17" borderId="24" xfId="0" applyFont="1" applyFill="1" applyBorder="1" applyAlignment="1">
      <alignment horizontal="center" wrapText="1"/>
    </xf>
    <xf numFmtId="0" fontId="2" fillId="17" borderId="29" xfId="0" applyFont="1" applyFill="1" applyBorder="1" applyAlignment="1">
      <alignment horizontal="center" wrapText="1"/>
    </xf>
    <xf numFmtId="0" fontId="2" fillId="17" borderId="30" xfId="0" applyFont="1" applyFill="1" applyBorder="1" applyAlignment="1">
      <alignment horizontal="center" wrapText="1"/>
    </xf>
    <xf numFmtId="0" fontId="2" fillId="17" borderId="80" xfId="0" applyFont="1" applyFill="1" applyBorder="1" applyAlignment="1">
      <alignment horizontal="center" wrapText="1"/>
    </xf>
    <xf numFmtId="0" fontId="2" fillId="0" borderId="66" xfId="0" applyFont="1" applyBorder="1" applyAlignment="1">
      <alignment horizontal="center" wrapText="1"/>
    </xf>
    <xf numFmtId="0" fontId="2" fillId="0" borderId="66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37" xfId="0" applyFont="1" applyBorder="1" applyAlignment="1">
      <alignment wrapText="1"/>
    </xf>
    <xf numFmtId="0" fontId="48" fillId="18" borderId="35" xfId="0" applyFont="1" applyFill="1" applyBorder="1" applyAlignment="1">
      <alignment horizontal="center"/>
    </xf>
    <xf numFmtId="0" fontId="2" fillId="18" borderId="66" xfId="0" applyFont="1" applyFill="1" applyBorder="1" applyAlignment="1">
      <alignment horizontal="center"/>
    </xf>
    <xf numFmtId="0" fontId="2" fillId="18" borderId="5" xfId="0" applyFont="1" applyFill="1" applyBorder="1" applyAlignment="1">
      <alignment horizontal="center"/>
    </xf>
    <xf numFmtId="0" fontId="2" fillId="18" borderId="37" xfId="0" applyFont="1" applyFill="1" applyBorder="1" applyAlignment="1">
      <alignment horizontal="center"/>
    </xf>
    <xf numFmtId="0" fontId="48" fillId="3" borderId="35" xfId="0" applyFont="1" applyFill="1" applyBorder="1" applyAlignment="1">
      <alignment horizontal="center"/>
    </xf>
    <xf numFmtId="0" fontId="2" fillId="3" borderId="6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37" xfId="0" applyFont="1" applyFill="1" applyBorder="1" applyAlignment="1">
      <alignment horizontal="center"/>
    </xf>
    <xf numFmtId="0" fontId="2" fillId="0" borderId="6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95" xfId="0" applyFont="1" applyBorder="1" applyAlignment="1">
      <alignment horizontal="center"/>
    </xf>
    <xf numFmtId="0" fontId="2" fillId="0" borderId="96" xfId="0" applyFont="1" applyBorder="1" applyAlignment="1">
      <alignment horizontal="center"/>
    </xf>
    <xf numFmtId="49" fontId="2" fillId="0" borderId="96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95" xfId="0" applyFont="1" applyBorder="1" applyAlignment="1">
      <alignment horizontal="center" wrapText="1"/>
    </xf>
    <xf numFmtId="169" fontId="2" fillId="0" borderId="95" xfId="0" applyNumberFormat="1" applyFont="1" applyBorder="1" applyAlignment="1">
      <alignment horizontal="center"/>
    </xf>
    <xf numFmtId="169" fontId="2" fillId="0" borderId="0" xfId="0" applyNumberFormat="1" applyFont="1" applyAlignment="1">
      <alignment horizontal="center"/>
    </xf>
    <xf numFmtId="169" fontId="2" fillId="0" borderId="96" xfId="0" applyNumberFormat="1" applyFont="1" applyBorder="1" applyAlignment="1">
      <alignment horizontal="center"/>
    </xf>
    <xf numFmtId="0" fontId="48" fillId="19" borderId="35" xfId="0" applyFont="1" applyFill="1" applyBorder="1" applyAlignment="1">
      <alignment horizontal="center" wrapText="1"/>
    </xf>
    <xf numFmtId="0" fontId="2" fillId="19" borderId="66" xfId="0" applyFont="1" applyFill="1" applyBorder="1" applyAlignment="1">
      <alignment horizontal="center"/>
    </xf>
    <xf numFmtId="0" fontId="2" fillId="19" borderId="5" xfId="0" applyFont="1" applyFill="1" applyBorder="1" applyAlignment="1">
      <alignment horizontal="center"/>
    </xf>
    <xf numFmtId="0" fontId="2" fillId="19" borderId="37" xfId="0" applyFont="1" applyFill="1" applyBorder="1" applyAlignment="1">
      <alignment horizontal="center"/>
    </xf>
    <xf numFmtId="0" fontId="2" fillId="19" borderId="35" xfId="0" applyFont="1" applyFill="1" applyBorder="1" applyAlignment="1">
      <alignment horizontal="center"/>
    </xf>
    <xf numFmtId="0" fontId="2" fillId="19" borderId="36" xfId="0" applyFont="1" applyFill="1" applyBorder="1" applyAlignment="1">
      <alignment horizontal="center"/>
    </xf>
    <xf numFmtId="0" fontId="49" fillId="19" borderId="31" xfId="0" applyFont="1" applyFill="1" applyBorder="1" applyAlignment="1">
      <alignment horizontal="center" wrapText="1"/>
    </xf>
    <xf numFmtId="0" fontId="2" fillId="19" borderId="97" xfId="0" applyFont="1" applyFill="1" applyBorder="1" applyAlignment="1">
      <alignment horizontal="center"/>
    </xf>
    <xf numFmtId="0" fontId="2" fillId="19" borderId="40" xfId="0" applyFont="1" applyFill="1" applyBorder="1" applyAlignment="1">
      <alignment horizontal="center"/>
    </xf>
    <xf numFmtId="0" fontId="2" fillId="19" borderId="34" xfId="0" applyFont="1" applyFill="1" applyBorder="1" applyAlignment="1">
      <alignment horizontal="center"/>
    </xf>
    <xf numFmtId="0" fontId="2" fillId="19" borderId="31" xfId="0" applyFont="1" applyFill="1" applyBorder="1" applyAlignment="1">
      <alignment horizontal="center"/>
    </xf>
    <xf numFmtId="0" fontId="2" fillId="19" borderId="32" xfId="0" applyFont="1" applyFill="1" applyBorder="1" applyAlignment="1">
      <alignment horizontal="center"/>
    </xf>
    <xf numFmtId="0" fontId="49" fillId="0" borderId="57" xfId="0" applyFont="1" applyBorder="1" applyAlignment="1">
      <alignment horizontal="center" wrapText="1"/>
    </xf>
    <xf numFmtId="0" fontId="2" fillId="0" borderId="66" xfId="0" applyFont="1" applyBorder="1"/>
    <xf numFmtId="0" fontId="2" fillId="0" borderId="37" xfId="0" applyFont="1" applyBorder="1"/>
    <xf numFmtId="0" fontId="48" fillId="3" borderId="49" xfId="0" applyFont="1" applyFill="1" applyBorder="1" applyAlignment="1">
      <alignment wrapText="1"/>
    </xf>
    <xf numFmtId="0" fontId="2" fillId="3" borderId="88" xfId="0" applyFont="1" applyFill="1" applyBorder="1"/>
    <xf numFmtId="0" fontId="2" fillId="3" borderId="39" xfId="0" applyFont="1" applyFill="1" applyBorder="1"/>
    <xf numFmtId="0" fontId="2" fillId="3" borderId="53" xfId="0" applyFont="1" applyFill="1" applyBorder="1"/>
    <xf numFmtId="0" fontId="81" fillId="13" borderId="15" xfId="0" applyFont="1" applyFill="1" applyBorder="1" applyAlignment="1">
      <alignment horizontal="center" vertical="center" wrapText="1"/>
    </xf>
    <xf numFmtId="0" fontId="81" fillId="13" borderId="5" xfId="0" applyFont="1" applyFill="1" applyBorder="1" applyAlignment="1">
      <alignment horizontal="center" vertical="center" wrapText="1"/>
    </xf>
    <xf numFmtId="0" fontId="81" fillId="13" borderId="28" xfId="0" applyFont="1" applyFill="1" applyBorder="1" applyAlignment="1">
      <alignment horizontal="center" vertical="center" wrapText="1"/>
    </xf>
    <xf numFmtId="0" fontId="81" fillId="13" borderId="29" xfId="0" applyFont="1" applyFill="1" applyBorder="1" applyAlignment="1">
      <alignment horizontal="center" vertical="center" wrapText="1"/>
    </xf>
    <xf numFmtId="0" fontId="81" fillId="13" borderId="45" xfId="0" applyFont="1" applyFill="1" applyBorder="1" applyAlignment="1">
      <alignment horizontal="center" vertical="center" wrapText="1"/>
    </xf>
    <xf numFmtId="0" fontId="81" fillId="13" borderId="40" xfId="0" applyFont="1" applyFill="1" applyBorder="1" applyAlignment="1">
      <alignment horizontal="center" vertical="center" wrapText="1"/>
    </xf>
    <xf numFmtId="0" fontId="81" fillId="13" borderId="46" xfId="0" applyFont="1" applyFill="1" applyBorder="1" applyAlignment="1">
      <alignment horizontal="center" vertical="center" wrapText="1"/>
    </xf>
    <xf numFmtId="0" fontId="81" fillId="13" borderId="39" xfId="0" applyFont="1" applyFill="1" applyBorder="1" applyAlignment="1">
      <alignment horizontal="center" vertical="center" wrapText="1"/>
    </xf>
    <xf numFmtId="0" fontId="81" fillId="13" borderId="52" xfId="0" applyFont="1" applyFill="1" applyBorder="1" applyAlignment="1">
      <alignment horizontal="center" vertical="center" wrapText="1"/>
    </xf>
    <xf numFmtId="0" fontId="81" fillId="0" borderId="58" xfId="0" applyFont="1" applyBorder="1" applyAlignment="1">
      <alignment horizontal="center" vertical="center" wrapText="1"/>
    </xf>
    <xf numFmtId="0" fontId="81" fillId="0" borderId="1" xfId="0" applyFont="1" applyBorder="1" applyAlignment="1">
      <alignment horizontal="center" vertical="center" wrapText="1"/>
    </xf>
    <xf numFmtId="0" fontId="81" fillId="0" borderId="63" xfId="0" applyFont="1" applyBorder="1" applyAlignment="1">
      <alignment horizontal="center" vertical="center" wrapText="1"/>
    </xf>
    <xf numFmtId="0" fontId="81" fillId="0" borderId="39" xfId="0" applyFont="1" applyBorder="1" applyAlignment="1">
      <alignment horizontal="center" vertical="center" wrapText="1"/>
    </xf>
    <xf numFmtId="0" fontId="81" fillId="14" borderId="33" xfId="0" applyFont="1" applyFill="1" applyBorder="1" applyAlignment="1">
      <alignment horizontal="center" vertical="center" wrapText="1"/>
    </xf>
    <xf numFmtId="0" fontId="81" fillId="14" borderId="5" xfId="0" applyFont="1" applyFill="1" applyBorder="1" applyAlignment="1">
      <alignment horizontal="center" vertical="center" wrapText="1"/>
    </xf>
    <xf numFmtId="0" fontId="81" fillId="14" borderId="15" xfId="0" applyFont="1" applyFill="1" applyBorder="1" applyAlignment="1">
      <alignment horizontal="center" vertical="center" wrapText="1"/>
    </xf>
    <xf numFmtId="2" fontId="81" fillId="13" borderId="15" xfId="0" applyNumberFormat="1" applyFont="1" applyFill="1" applyBorder="1" applyAlignment="1">
      <alignment horizontal="center" vertical="center" wrapText="1"/>
    </xf>
    <xf numFmtId="0" fontId="81" fillId="13" borderId="37" xfId="0" applyFont="1" applyFill="1" applyBorder="1" applyAlignment="1">
      <alignment horizontal="center" vertical="center" wrapText="1"/>
    </xf>
    <xf numFmtId="0" fontId="81" fillId="4" borderId="15" xfId="0" applyFont="1" applyFill="1" applyBorder="1" applyAlignment="1">
      <alignment horizontal="center" vertical="center" wrapText="1"/>
    </xf>
    <xf numFmtId="0" fontId="81" fillId="4" borderId="5" xfId="0" applyFont="1" applyFill="1" applyBorder="1" applyAlignment="1">
      <alignment horizontal="center" vertical="center" wrapText="1"/>
    </xf>
    <xf numFmtId="0" fontId="81" fillId="4" borderId="39" xfId="0" applyFont="1" applyFill="1" applyBorder="1" applyAlignment="1">
      <alignment horizontal="center" vertical="center" wrapText="1"/>
    </xf>
    <xf numFmtId="0" fontId="81" fillId="13" borderId="34" xfId="0" applyFont="1" applyFill="1" applyBorder="1" applyAlignment="1">
      <alignment horizontal="center" vertical="center" wrapText="1"/>
    </xf>
    <xf numFmtId="2" fontId="81" fillId="13" borderId="29" xfId="0" applyNumberFormat="1" applyFont="1" applyFill="1" applyBorder="1" applyAlignment="1">
      <alignment horizontal="center" vertical="center" wrapText="1"/>
    </xf>
    <xf numFmtId="0" fontId="81" fillId="13" borderId="30" xfId="0" applyFont="1" applyFill="1" applyBorder="1" applyAlignment="1">
      <alignment horizontal="center" vertical="center" wrapText="1"/>
    </xf>
    <xf numFmtId="0" fontId="81" fillId="4" borderId="44" xfId="0" applyFont="1" applyFill="1" applyBorder="1" applyAlignment="1">
      <alignment horizontal="center" vertical="center" wrapText="1"/>
    </xf>
    <xf numFmtId="0" fontId="81" fillId="4" borderId="40" xfId="0" applyFont="1" applyFill="1" applyBorder="1" applyAlignment="1">
      <alignment horizontal="center" vertical="center" wrapText="1"/>
    </xf>
    <xf numFmtId="0" fontId="81" fillId="13" borderId="53" xfId="0" applyFont="1" applyFill="1" applyBorder="1" applyAlignment="1">
      <alignment horizontal="center" vertical="center" wrapText="1"/>
    </xf>
    <xf numFmtId="0" fontId="81" fillId="0" borderId="29" xfId="0" applyFont="1" applyBorder="1" applyAlignment="1">
      <alignment horizontal="center" vertical="center" wrapText="1"/>
    </xf>
    <xf numFmtId="0" fontId="81" fillId="0" borderId="30" xfId="0" applyFont="1" applyBorder="1" applyAlignment="1">
      <alignment horizontal="center" vertical="center" wrapText="1"/>
    </xf>
    <xf numFmtId="0" fontId="81" fillId="0" borderId="5" xfId="0" applyFont="1" applyBorder="1" applyAlignment="1">
      <alignment horizontal="center" vertical="center" wrapText="1"/>
    </xf>
    <xf numFmtId="0" fontId="81" fillId="0" borderId="37" xfId="0" applyFont="1" applyBorder="1" applyAlignment="1">
      <alignment horizontal="center" vertical="center" wrapText="1"/>
    </xf>
    <xf numFmtId="0" fontId="81" fillId="4" borderId="33" xfId="0" applyFont="1" applyFill="1" applyBorder="1" applyAlignment="1">
      <alignment horizontal="center" vertical="center" wrapText="1"/>
    </xf>
    <xf numFmtId="0" fontId="81" fillId="4" borderId="51" xfId="0" applyFont="1" applyFill="1" applyBorder="1" applyAlignment="1">
      <alignment horizontal="center" vertical="center" wrapText="1"/>
    </xf>
    <xf numFmtId="0" fontId="81" fillId="0" borderId="53" xfId="0" applyFont="1" applyBorder="1" applyAlignment="1">
      <alignment horizontal="center" vertical="center" wrapText="1"/>
    </xf>
    <xf numFmtId="0" fontId="81" fillId="14" borderId="65" xfId="0" applyFont="1" applyFill="1" applyBorder="1" applyAlignment="1">
      <alignment horizontal="center" vertical="center" wrapText="1"/>
    </xf>
    <xf numFmtId="0" fontId="81" fillId="14" borderId="37" xfId="0" applyFont="1" applyFill="1" applyBorder="1" applyAlignment="1">
      <alignment horizontal="center" vertical="center" wrapText="1"/>
    </xf>
    <xf numFmtId="0" fontId="81" fillId="14" borderId="52" xfId="0" applyFont="1" applyFill="1" applyBorder="1" applyAlignment="1">
      <alignment horizontal="center" vertical="center" wrapText="1"/>
    </xf>
    <xf numFmtId="0" fontId="81" fillId="14" borderId="70" xfId="0" applyFont="1" applyFill="1" applyBorder="1" applyAlignment="1">
      <alignment horizontal="center" vertical="center" wrapText="1"/>
    </xf>
    <xf numFmtId="0" fontId="82" fillId="4" borderId="5" xfId="0" applyFont="1" applyFill="1" applyBorder="1" applyAlignment="1">
      <alignment horizontal="left" vertical="center"/>
    </xf>
    <xf numFmtId="0" fontId="82" fillId="4" borderId="39" xfId="0" applyFont="1" applyFill="1" applyBorder="1" applyAlignment="1">
      <alignment horizontal="left" vertical="center"/>
    </xf>
    <xf numFmtId="0" fontId="83" fillId="0" borderId="5" xfId="0" applyFont="1" applyBorder="1" applyAlignment="1">
      <alignment horizontal="center"/>
    </xf>
    <xf numFmtId="0" fontId="84" fillId="0" borderId="5" xfId="0" applyFont="1" applyBorder="1" applyAlignment="1">
      <alignment horizontal="center"/>
    </xf>
    <xf numFmtId="0" fontId="82" fillId="12" borderId="2" xfId="0" applyFont="1" applyFill="1" applyBorder="1" applyAlignment="1">
      <alignment horizontal="center" wrapText="1"/>
    </xf>
    <xf numFmtId="166" fontId="2" fillId="0" borderId="78" xfId="0" applyNumberFormat="1" applyFont="1" applyBorder="1" applyAlignment="1">
      <alignment wrapText="1"/>
    </xf>
    <xf numFmtId="166" fontId="1" fillId="0" borderId="78" xfId="0" applyNumberFormat="1" applyFont="1" applyBorder="1" applyAlignment="1">
      <alignment wrapText="1"/>
    </xf>
    <xf numFmtId="166" fontId="37" fillId="9" borderId="78" xfId="0" applyNumberFormat="1" applyFont="1" applyFill="1" applyBorder="1" applyAlignment="1">
      <alignment wrapText="1"/>
    </xf>
    <xf numFmtId="0" fontId="1" fillId="9" borderId="85" xfId="0" applyFont="1" applyFill="1" applyBorder="1" applyAlignment="1">
      <alignment wrapText="1"/>
    </xf>
    <xf numFmtId="0" fontId="0" fillId="20" borderId="0" xfId="0" applyFill="1"/>
    <xf numFmtId="0" fontId="0" fillId="21" borderId="0" xfId="0" applyFill="1"/>
    <xf numFmtId="0" fontId="0" fillId="22" borderId="0" xfId="0" applyFill="1"/>
    <xf numFmtId="0" fontId="88" fillId="23" borderId="0" xfId="0" applyFont="1" applyFill="1"/>
    <xf numFmtId="0" fontId="0" fillId="23" borderId="0" xfId="0" applyFill="1"/>
    <xf numFmtId="0" fontId="2" fillId="24" borderId="5" xfId="0" applyFont="1" applyFill="1" applyBorder="1"/>
    <xf numFmtId="0" fontId="81" fillId="0" borderId="5" xfId="0" applyFont="1" applyBorder="1"/>
    <xf numFmtId="0" fontId="2" fillId="0" borderId="0" xfId="0" applyFont="1" applyAlignment="1">
      <alignment horizontal="left" vertical="center" wrapText="1"/>
    </xf>
    <xf numFmtId="0" fontId="0" fillId="0" borderId="0" xfId="0"/>
    <xf numFmtId="0" fontId="2" fillId="0" borderId="0" xfId="0" applyFont="1" applyAlignment="1">
      <alignment horizontal="right" wrapText="1"/>
    </xf>
    <xf numFmtId="0" fontId="27" fillId="0" borderId="22" xfId="0" applyFont="1" applyBorder="1" applyAlignment="1">
      <alignment horizontal="right"/>
    </xf>
    <xf numFmtId="0" fontId="2" fillId="0" borderId="22" xfId="0" applyFont="1" applyBorder="1" applyAlignment="1">
      <alignment horizontal="right"/>
    </xf>
    <xf numFmtId="0" fontId="36" fillId="0" borderId="22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1" fillId="12" borderId="81" xfId="0" applyFont="1" applyFill="1" applyBorder="1" applyAlignment="1">
      <alignment horizontal="center"/>
    </xf>
    <xf numFmtId="0" fontId="21" fillId="0" borderId="78" xfId="0" applyFont="1" applyBorder="1"/>
    <xf numFmtId="0" fontId="21" fillId="0" borderId="82" xfId="0" applyFont="1" applyBorder="1"/>
    <xf numFmtId="0" fontId="2" fillId="0" borderId="76" xfId="0" applyFont="1" applyBorder="1" applyAlignment="1">
      <alignment horizontal="right"/>
    </xf>
    <xf numFmtId="0" fontId="21" fillId="0" borderId="77" xfId="0" applyFont="1" applyBorder="1"/>
    <xf numFmtId="0" fontId="13" fillId="0" borderId="22" xfId="0" applyFont="1" applyBorder="1" applyAlignment="1">
      <alignment horizontal="right"/>
    </xf>
    <xf numFmtId="0" fontId="2" fillId="15" borderId="18" xfId="0" applyFont="1" applyFill="1" applyBorder="1" applyAlignment="1">
      <alignment horizontal="right"/>
    </xf>
    <xf numFmtId="0" fontId="21" fillId="0" borderId="19" xfId="0" applyFont="1" applyBorder="1"/>
    <xf numFmtId="0" fontId="21" fillId="0" borderId="20" xfId="0" applyFont="1" applyBorder="1"/>
    <xf numFmtId="0" fontId="2" fillId="0" borderId="0" xfId="0" applyFont="1" applyAlignment="1">
      <alignment horizontal="left" wrapText="1"/>
    </xf>
    <xf numFmtId="0" fontId="1" fillId="12" borderId="74" xfId="0" applyFont="1" applyFill="1" applyBorder="1" applyAlignment="1">
      <alignment horizontal="center"/>
    </xf>
    <xf numFmtId="0" fontId="21" fillId="0" borderId="75" xfId="0" applyFont="1" applyBorder="1"/>
    <xf numFmtId="0" fontId="36" fillId="0" borderId="22" xfId="0" applyFont="1" applyBorder="1" applyAlignment="1">
      <alignment horizontal="right" wrapText="1"/>
    </xf>
    <xf numFmtId="4" fontId="2" fillId="0" borderId="0" xfId="0" applyNumberFormat="1" applyFont="1" applyAlignment="1">
      <alignment horizontal="left" wrapText="1"/>
    </xf>
    <xf numFmtId="0" fontId="13" fillId="0" borderId="76" xfId="0" applyFont="1" applyBorder="1" applyAlignment="1">
      <alignment horizontal="right"/>
    </xf>
    <xf numFmtId="0" fontId="36" fillId="0" borderId="22" xfId="0" applyFont="1" applyBorder="1" applyAlignment="1">
      <alignment horizontal="right" vertical="center" wrapText="1"/>
    </xf>
    <xf numFmtId="0" fontId="1" fillId="12" borderId="78" xfId="0" applyFont="1" applyFill="1" applyBorder="1" applyAlignment="1">
      <alignment horizontal="center"/>
    </xf>
    <xf numFmtId="0" fontId="1" fillId="12" borderId="82" xfId="0" applyFont="1" applyFill="1" applyBorder="1" applyAlignment="1">
      <alignment horizontal="center"/>
    </xf>
    <xf numFmtId="0" fontId="28" fillId="0" borderId="22" xfId="0" applyFont="1" applyBorder="1" applyAlignment="1">
      <alignment horizontal="right" vertical="center"/>
    </xf>
    <xf numFmtId="0" fontId="22" fillId="12" borderId="25" xfId="0" applyFont="1" applyFill="1" applyBorder="1" applyAlignment="1">
      <alignment horizontal="center"/>
    </xf>
    <xf numFmtId="0" fontId="21" fillId="0" borderId="26" xfId="0" applyFont="1" applyBorder="1"/>
    <xf numFmtId="0" fontId="21" fillId="0" borderId="27" xfId="0" applyFont="1" applyBorder="1"/>
    <xf numFmtId="49" fontId="1" fillId="12" borderId="74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37" fillId="9" borderId="74" xfId="0" applyFont="1" applyFill="1" applyBorder="1" applyAlignment="1">
      <alignment horizontal="center" wrapText="1"/>
    </xf>
    <xf numFmtId="0" fontId="27" fillId="0" borderId="76" xfId="0" applyFont="1" applyBorder="1" applyAlignment="1">
      <alignment horizontal="right"/>
    </xf>
    <xf numFmtId="0" fontId="2" fillId="12" borderId="81" xfId="0" applyFont="1" applyFill="1" applyBorder="1" applyAlignment="1">
      <alignment horizontal="center"/>
    </xf>
    <xf numFmtId="0" fontId="85" fillId="0" borderId="71" xfId="0" applyFont="1" applyBorder="1" applyAlignment="1">
      <alignment horizontal="center" vertical="center" wrapText="1"/>
    </xf>
    <xf numFmtId="0" fontId="85" fillId="0" borderId="72" xfId="0" applyFont="1" applyBorder="1" applyAlignment="1">
      <alignment horizontal="center" vertical="center" wrapText="1"/>
    </xf>
    <xf numFmtId="0" fontId="85" fillId="0" borderId="73" xfId="0" applyFont="1" applyBorder="1" applyAlignment="1">
      <alignment horizontal="center" vertical="center" wrapText="1"/>
    </xf>
    <xf numFmtId="0" fontId="85" fillId="0" borderId="81" xfId="0" applyFont="1" applyBorder="1" applyAlignment="1">
      <alignment horizontal="center" vertical="center" wrapText="1"/>
    </xf>
    <xf numFmtId="0" fontId="85" fillId="0" borderId="78" xfId="0" applyFont="1" applyBorder="1" applyAlignment="1">
      <alignment horizontal="center" vertical="center" wrapText="1"/>
    </xf>
    <xf numFmtId="0" fontId="85" fillId="0" borderId="82" xfId="0" applyFont="1" applyBorder="1" applyAlignment="1">
      <alignment horizontal="center" vertical="center" wrapText="1"/>
    </xf>
    <xf numFmtId="0" fontId="40" fillId="0" borderId="22" xfId="0" applyFont="1" applyBorder="1" applyAlignment="1">
      <alignment horizontal="center"/>
    </xf>
    <xf numFmtId="0" fontId="36" fillId="0" borderId="22" xfId="0" applyFont="1" applyBorder="1" applyAlignment="1">
      <alignment horizontal="right" vertical="center"/>
    </xf>
    <xf numFmtId="0" fontId="2" fillId="0" borderId="17" xfId="0" applyFont="1" applyBorder="1" applyAlignment="1">
      <alignment horizontal="center"/>
    </xf>
    <xf numFmtId="0" fontId="21" fillId="0" borderId="86" xfId="0" applyFont="1" applyBorder="1"/>
    <xf numFmtId="0" fontId="21" fillId="0" borderId="58" xfId="0" applyFont="1" applyBorder="1"/>
    <xf numFmtId="0" fontId="1" fillId="2" borderId="83" xfId="0" applyFont="1" applyFill="1" applyBorder="1" applyAlignment="1">
      <alignment horizontal="center" wrapText="1"/>
    </xf>
    <xf numFmtId="0" fontId="21" fillId="0" borderId="84" xfId="0" applyFont="1" applyBorder="1"/>
    <xf numFmtId="0" fontId="21" fillId="0" borderId="85" xfId="0" applyFont="1" applyBorder="1"/>
    <xf numFmtId="0" fontId="1" fillId="2" borderId="74" xfId="0" applyFont="1" applyFill="1" applyBorder="1" applyAlignment="1">
      <alignment horizontal="center" wrapText="1"/>
    </xf>
    <xf numFmtId="0" fontId="1" fillId="0" borderId="86" xfId="0" applyFont="1" applyBorder="1" applyAlignment="1">
      <alignment horizontal="center"/>
    </xf>
    <xf numFmtId="0" fontId="2" fillId="0" borderId="54" xfId="0" applyFont="1" applyBorder="1" applyAlignment="1">
      <alignment horizontal="center" vertical="center" wrapText="1"/>
    </xf>
    <xf numFmtId="0" fontId="21" fillId="0" borderId="56" xfId="0" applyFont="1" applyBorder="1"/>
    <xf numFmtId="0" fontId="2" fillId="0" borderId="57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1" fillId="0" borderId="63" xfId="0" applyFont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89" xfId="0" applyFont="1" applyBorder="1" applyAlignment="1">
      <alignment horizontal="center"/>
    </xf>
    <xf numFmtId="0" fontId="21" fillId="0" borderId="90" xfId="0" applyFont="1" applyBorder="1"/>
    <xf numFmtId="0" fontId="21" fillId="0" borderId="91" xfId="0" applyFont="1" applyBorder="1"/>
    <xf numFmtId="0" fontId="2" fillId="0" borderId="55" xfId="0" applyFont="1" applyBorder="1" applyAlignment="1">
      <alignment horizontal="center"/>
    </xf>
    <xf numFmtId="0" fontId="21" fillId="0" borderId="92" xfId="0" applyFont="1" applyBorder="1"/>
    <xf numFmtId="0" fontId="21" fillId="0" borderId="93" xfId="0" applyFont="1" applyBorder="1"/>
    <xf numFmtId="0" fontId="21" fillId="0" borderId="94" xfId="0" applyFont="1" applyBorder="1"/>
  </cellXfs>
  <cellStyles count="1">
    <cellStyle name="Normalny" xfId="0" builtinId="0"/>
  </cellStyles>
  <dxfs count="1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kw.biz.pl/slup.drewniany.blizniaczy.10.mb.sdb10.,8.html" TargetMode="External"/><Relationship Id="rId13" Type="http://schemas.openxmlformats.org/officeDocument/2006/relationships/hyperlink" Target="http://www.tkw.biz.pl/slup.drewniany.pojedynczy.z.podpora.lub.rozkraczny.6mb.sdpp6.,13.html" TargetMode="External"/><Relationship Id="rId18" Type="http://schemas.openxmlformats.org/officeDocument/2006/relationships/hyperlink" Target="http://www.tkw.biz.pl/slup.drewniany.pojedynczy.z.podpora.lub.rozkraczny.uszczudlony.7mb.sdppu7.,18.html" TargetMode="External"/><Relationship Id="rId26" Type="http://schemas.openxmlformats.org/officeDocument/2006/relationships/vmlDrawing" Target="../drawings/vmlDrawing4.vml"/><Relationship Id="rId3" Type="http://schemas.openxmlformats.org/officeDocument/2006/relationships/hyperlink" Target="http://www.tkw.biz.pl/slup.drewniany.pojedynczy.8.mb.sdp8.,3.html" TargetMode="External"/><Relationship Id="rId21" Type="http://schemas.openxmlformats.org/officeDocument/2006/relationships/hyperlink" Target="http://www.tkw.biz.pl/slup.drewniany.blizniaczy.z.podpora.8.mb.sdbp8.,21.html" TargetMode="External"/><Relationship Id="rId7" Type="http://schemas.openxmlformats.org/officeDocument/2006/relationships/hyperlink" Target="http://www.tkw.biz.pl/slup.drewniany.blizniaczy.8.mb.sdb8.,7.html" TargetMode="External"/><Relationship Id="rId12" Type="http://schemas.openxmlformats.org/officeDocument/2006/relationships/hyperlink" Target="http://www.tkw.biz.pl/slup.drewniany.blizniaczy.uszczudlony.7mb.sdbu7.,12.html" TargetMode="External"/><Relationship Id="rId17" Type="http://schemas.openxmlformats.org/officeDocument/2006/relationships/hyperlink" Target="http://www.tkw.biz.pl/slup.drewniany.pojedynczy.z.podpora.lub.rozkraczny.uszczudlony.6mb.sdppu6.,17.html" TargetMode="External"/><Relationship Id="rId25" Type="http://schemas.openxmlformats.org/officeDocument/2006/relationships/hyperlink" Target="http://www.tkw.biz.pl/slup.drewniany.blizniaczy.uszczudlony.z.podpora.8.mb.sdbup8.,25.html" TargetMode="External"/><Relationship Id="rId2" Type="http://schemas.openxmlformats.org/officeDocument/2006/relationships/hyperlink" Target="http://www.tkw.biz.pl/slup.drewniany.pojedynczy.7.mb.sdp7.,2.html" TargetMode="External"/><Relationship Id="rId16" Type="http://schemas.openxmlformats.org/officeDocument/2006/relationships/hyperlink" Target="http://www.tkw.biz.pl/slup.drewniany.pojedynczy.z.podpora.lub.rozkraczny.10mb.sdpp10.,16.html" TargetMode="External"/><Relationship Id="rId20" Type="http://schemas.openxmlformats.org/officeDocument/2006/relationships/hyperlink" Target="http://www.tkw.biz.pl/slup.drewniany.blizniaczy.z.podpora.7mb.sdbp7.,20.html" TargetMode="External"/><Relationship Id="rId1" Type="http://schemas.openxmlformats.org/officeDocument/2006/relationships/hyperlink" Target="http://www.tkw.biz.pl/slup.drewniany.pojedynczy.6.mb.sdp6.,1.html" TargetMode="External"/><Relationship Id="rId6" Type="http://schemas.openxmlformats.org/officeDocument/2006/relationships/hyperlink" Target="http://www.tkw.biz.pl/slup.drewniany.blizniaczy.7.mb.sdb7.,6.html" TargetMode="External"/><Relationship Id="rId11" Type="http://schemas.openxmlformats.org/officeDocument/2006/relationships/hyperlink" Target="http://www.tkw.biz.pl/slup.drewniany.blizniaczy.uszczudlony.6mb.sdbu6.,11.html" TargetMode="External"/><Relationship Id="rId24" Type="http://schemas.openxmlformats.org/officeDocument/2006/relationships/hyperlink" Target="http://www.tkw.biz.pl/slup.drewniany.blizniaczy.uszczudlony.z.podpora.7.mb.sdbup7.,24.html" TargetMode="External"/><Relationship Id="rId5" Type="http://schemas.openxmlformats.org/officeDocument/2006/relationships/hyperlink" Target="http://www.tkw.biz.pl/slup.drewniany.blizniaczy.6.mb.sdb6.,5.html" TargetMode="External"/><Relationship Id="rId15" Type="http://schemas.openxmlformats.org/officeDocument/2006/relationships/hyperlink" Target="http://www.tkw.biz.pl/slup.drewniany.pojedynczy.z.podpora.lub.rozkraczny.8mb.sdpp8.,15.html" TargetMode="External"/><Relationship Id="rId23" Type="http://schemas.openxmlformats.org/officeDocument/2006/relationships/hyperlink" Target="http://www.tkw.biz.pl/slup.drewniany.blizniaczy.uszczudlony.z.podpora.6mb.sdbup6.,23.html" TargetMode="External"/><Relationship Id="rId10" Type="http://schemas.openxmlformats.org/officeDocument/2006/relationships/hyperlink" Target="http://www.tkw.biz.pl/slup.drewniany.pojedynczy.uszczudlony.7mb.sdpu7.,10.html" TargetMode="External"/><Relationship Id="rId19" Type="http://schemas.openxmlformats.org/officeDocument/2006/relationships/hyperlink" Target="http://www.tkw.biz.pl/slup.drewniany.blizniaczy.z.podpora.6mb.sdbp6.,19.html" TargetMode="External"/><Relationship Id="rId4" Type="http://schemas.openxmlformats.org/officeDocument/2006/relationships/hyperlink" Target="http://www.tkw.biz.pl/slup.drewniany.pojedynczy.10.mb.sdp10.,4.html" TargetMode="External"/><Relationship Id="rId9" Type="http://schemas.openxmlformats.org/officeDocument/2006/relationships/hyperlink" Target="http://www.tkw.biz.pl/slup.drewniany.pojedynczy.uszczudlony.6mb.sdpu6.,9.html" TargetMode="External"/><Relationship Id="rId14" Type="http://schemas.openxmlformats.org/officeDocument/2006/relationships/hyperlink" Target="http://www.tkw.biz.pl/slup.drewniany.pojedynczy.z.podpora.lub.rozkraczny.7mb.sdpp7.,14.html" TargetMode="External"/><Relationship Id="rId22" Type="http://schemas.openxmlformats.org/officeDocument/2006/relationships/hyperlink" Target="http://www.tkw.biz.pl/slup.drewniany.blizniaczy.z.podpora.10mb.sdbp10.,22.html" TargetMode="External"/><Relationship Id="rId27" Type="http://schemas.openxmlformats.org/officeDocument/2006/relationships/comments" Target="../comments4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ABEA6-31FA-464B-8617-AD08185E4B60}">
  <dimension ref="A1:A5"/>
  <sheetViews>
    <sheetView workbookViewId="0">
      <selection activeCell="C31" sqref="C31"/>
    </sheetView>
  </sheetViews>
  <sheetFormatPr defaultRowHeight="12.75"/>
  <cols>
    <col min="1" max="1" width="43.5703125" customWidth="1"/>
  </cols>
  <sheetData>
    <row r="1" spans="1:1">
      <c r="A1" t="s">
        <v>590</v>
      </c>
    </row>
    <row r="2" spans="1:1">
      <c r="A2" t="s">
        <v>591</v>
      </c>
    </row>
    <row r="3" spans="1:1">
      <c r="A3" t="s">
        <v>592</v>
      </c>
    </row>
    <row r="4" spans="1:1">
      <c r="A4" t="s">
        <v>593</v>
      </c>
    </row>
    <row r="5" spans="1:1">
      <c r="A5" t="s">
        <v>594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E7717-5E87-4A6F-B385-9769065DD6F7}">
  <dimension ref="A1:G3"/>
  <sheetViews>
    <sheetView workbookViewId="0">
      <selection activeCell="F35" sqref="F35"/>
    </sheetView>
  </sheetViews>
  <sheetFormatPr defaultRowHeight="12.75"/>
  <cols>
    <col min="1" max="1" width="39.85546875" bestFit="1" customWidth="1"/>
    <col min="3" max="3" width="20.7109375" bestFit="1" customWidth="1"/>
    <col min="4" max="4" width="4" bestFit="1" customWidth="1"/>
    <col min="5" max="5" width="16.42578125" customWidth="1"/>
    <col min="6" max="6" width="42.140625" bestFit="1" customWidth="1"/>
  </cols>
  <sheetData>
    <row r="1" spans="1:7">
      <c r="A1" s="438" t="str">
        <f>KALKULATOR!B156</f>
        <v>Obliczenia wytrzymałości   słupa P przelotowego</v>
      </c>
      <c r="B1">
        <f>KALKULATOR!C156</f>
        <v>0</v>
      </c>
      <c r="C1">
        <f>KALKULATOR!G156</f>
        <v>0</v>
      </c>
      <c r="D1">
        <f>KALKULATOR!I156</f>
        <v>0</v>
      </c>
      <c r="E1">
        <f>KALKULATOR!K156</f>
        <v>0</v>
      </c>
      <c r="F1">
        <f>KALKULATOR!L156</f>
        <v>0</v>
      </c>
    </row>
    <row r="2" spans="1:7">
      <c r="A2" s="439" t="str">
        <f>KALKULATOR!B159</f>
        <v>Obliczona siła -  Pux=</v>
      </c>
      <c r="B2" s="439" t="e">
        <f>KALKULATOR!C159</f>
        <v>#N/A</v>
      </c>
      <c r="C2" s="440" t="str">
        <f>KALKULATOR!G159</f>
        <v>dopuszczalna siła   Pdx =</v>
      </c>
      <c r="D2" s="440" t="e">
        <f>KALKULATOR!I159</f>
        <v>#N/A</v>
      </c>
      <c r="E2" t="e">
        <f>KALKULATOR!K159</f>
        <v>#N/A</v>
      </c>
      <c r="F2" s="441" t="s">
        <v>602</v>
      </c>
      <c r="G2" s="442" t="e">
        <f>KALKULATOR_EL!C159</f>
        <v>#N/A</v>
      </c>
    </row>
    <row r="3" spans="1:7">
      <c r="A3" s="439" t="str">
        <f>KALKULATOR!B160</f>
        <v>Obliczona siła -  Puy=</v>
      </c>
      <c r="B3" s="439" t="e">
        <f>KALKULATOR!C160</f>
        <v>#N/A</v>
      </c>
      <c r="C3" s="440" t="str">
        <f>KALKULATOR!G160</f>
        <v>dopuszczalna siła   Pdy =</v>
      </c>
      <c r="D3" s="440" t="e">
        <f>KALKULATOR!I160</f>
        <v>#N/A</v>
      </c>
      <c r="E3" t="e">
        <f>KALKULATOR!K160</f>
        <v>#N/A</v>
      </c>
      <c r="F3" s="441" t="s">
        <v>603</v>
      </c>
      <c r="G3" s="442" t="e">
        <f>KALKULATOR_EL!C160</f>
        <v>#N/A</v>
      </c>
    </row>
  </sheetData>
  <conditionalFormatting sqref="A1:F1 A2:A3">
    <cfRule type="cellIs" dxfId="1" priority="2" operator="equal">
      <formula>0</formula>
    </cfRule>
  </conditionalFormatting>
  <conditionalFormatting sqref="C2:F3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57"/>
  <sheetViews>
    <sheetView topLeftCell="A22" zoomScaleNormal="100" workbookViewId="0">
      <selection activeCell="B81" sqref="B81"/>
    </sheetView>
  </sheetViews>
  <sheetFormatPr defaultColWidth="14.42578125" defaultRowHeight="15" customHeight="1"/>
  <cols>
    <col min="1" max="1" width="8.7109375" customWidth="1"/>
    <col min="2" max="2" width="16.5703125" customWidth="1"/>
    <col min="3" max="3" width="10.42578125" customWidth="1"/>
    <col min="4" max="4" width="8.5703125" customWidth="1"/>
    <col min="5" max="5" width="14.42578125" customWidth="1"/>
    <col min="6" max="6" width="10.42578125" customWidth="1"/>
    <col min="7" max="7" width="8.42578125" customWidth="1"/>
    <col min="8" max="8" width="14.42578125" customWidth="1"/>
    <col min="9" max="9" width="10.42578125" customWidth="1"/>
    <col min="10" max="10" width="6.85546875" customWidth="1"/>
    <col min="11" max="11" width="14.42578125" customWidth="1"/>
    <col min="12" max="12" width="10.42578125" customWidth="1"/>
    <col min="13" max="13" width="6.85546875" customWidth="1"/>
    <col min="14" max="14" width="14.42578125" customWidth="1"/>
    <col min="15" max="15" width="10.42578125" customWidth="1"/>
    <col min="16" max="16" width="6.85546875" customWidth="1"/>
    <col min="17" max="17" width="14.42578125" customWidth="1"/>
    <col min="18" max="18" width="10.42578125" customWidth="1"/>
    <col min="19" max="19" width="8.42578125" customWidth="1"/>
    <col min="20" max="20" width="5.42578125" customWidth="1"/>
    <col min="21" max="21" width="10.28515625" customWidth="1"/>
    <col min="22" max="22" width="7.42578125" customWidth="1"/>
    <col min="23" max="23" width="13.5703125" customWidth="1"/>
    <col min="24" max="24" width="10.42578125" customWidth="1"/>
    <col min="25" max="25" width="7.42578125" customWidth="1"/>
    <col min="26" max="26" width="12.42578125" customWidth="1"/>
    <col min="27" max="27" width="8.7109375" customWidth="1"/>
  </cols>
  <sheetData>
    <row r="1" spans="1:21" ht="55.5" customHeight="1">
      <c r="B1" s="490" t="s">
        <v>277</v>
      </c>
      <c r="C1" s="491"/>
      <c r="D1" s="491"/>
      <c r="E1" s="491"/>
      <c r="F1" s="491"/>
      <c r="G1" s="491"/>
      <c r="H1" s="491"/>
      <c r="I1" s="491"/>
      <c r="J1" s="491"/>
      <c r="K1" s="491"/>
      <c r="L1" s="491"/>
      <c r="M1" s="491"/>
      <c r="N1" s="491"/>
      <c r="O1" s="491"/>
      <c r="P1" s="491"/>
      <c r="Q1" s="491"/>
      <c r="R1" s="492"/>
    </row>
    <row r="2" spans="1:21" ht="12.75" customHeight="1">
      <c r="A2" s="2"/>
      <c r="B2" s="275"/>
      <c r="C2" s="494"/>
      <c r="D2" s="488"/>
      <c r="E2" s="488"/>
      <c r="F2" s="488"/>
      <c r="G2" s="488"/>
      <c r="H2" s="276"/>
      <c r="I2" s="277"/>
      <c r="J2" s="278"/>
      <c r="K2" s="276"/>
      <c r="L2" s="279"/>
      <c r="M2" s="279"/>
      <c r="N2" s="279"/>
      <c r="O2" s="277"/>
      <c r="P2" s="280"/>
      <c r="Q2" s="280"/>
      <c r="R2" s="278" t="s">
        <v>278</v>
      </c>
    </row>
    <row r="3" spans="1:21" ht="12.75" customHeight="1">
      <c r="A3" s="2" t="s">
        <v>279</v>
      </c>
      <c r="B3" s="281" t="s">
        <v>280</v>
      </c>
      <c r="C3" s="487" t="s">
        <v>281</v>
      </c>
      <c r="D3" s="488"/>
      <c r="E3" s="489"/>
      <c r="F3" s="487" t="s">
        <v>282</v>
      </c>
      <c r="G3" s="488"/>
      <c r="H3" s="489"/>
      <c r="I3" s="487" t="s">
        <v>283</v>
      </c>
      <c r="J3" s="488"/>
      <c r="K3" s="489"/>
      <c r="L3" s="487" t="s">
        <v>284</v>
      </c>
      <c r="M3" s="488"/>
      <c r="N3" s="489"/>
      <c r="O3" s="487" t="s">
        <v>285</v>
      </c>
      <c r="P3" s="488"/>
      <c r="Q3" s="489"/>
      <c r="R3" s="272" t="s">
        <v>286</v>
      </c>
    </row>
    <row r="4" spans="1:21" ht="12.75" customHeight="1">
      <c r="A4" s="2"/>
      <c r="B4" s="281"/>
      <c r="C4" s="272" t="s">
        <v>287</v>
      </c>
      <c r="D4" s="272" t="s">
        <v>288</v>
      </c>
      <c r="E4" s="272" t="s">
        <v>289</v>
      </c>
      <c r="F4" s="272" t="s">
        <v>287</v>
      </c>
      <c r="G4" s="272" t="s">
        <v>288</v>
      </c>
      <c r="H4" s="272" t="s">
        <v>289</v>
      </c>
      <c r="I4" s="272" t="s">
        <v>287</v>
      </c>
      <c r="J4" s="272" t="s">
        <v>288</v>
      </c>
      <c r="K4" s="272" t="s">
        <v>289</v>
      </c>
      <c r="L4" s="272" t="s">
        <v>287</v>
      </c>
      <c r="M4" s="272" t="s">
        <v>288</v>
      </c>
      <c r="N4" s="272" t="s">
        <v>289</v>
      </c>
      <c r="O4" s="272" t="s">
        <v>287</v>
      </c>
      <c r="P4" s="272" t="s">
        <v>288</v>
      </c>
      <c r="Q4" s="272" t="s">
        <v>289</v>
      </c>
      <c r="R4" s="272"/>
    </row>
    <row r="5" spans="1:21" ht="15.75" customHeight="1">
      <c r="A5" s="2">
        <v>3</v>
      </c>
      <c r="B5" s="111" t="s">
        <v>290</v>
      </c>
      <c r="C5" s="283">
        <v>107.8</v>
      </c>
      <c r="D5" s="284">
        <v>1</v>
      </c>
      <c r="E5" s="113">
        <v>8.1999999999999993</v>
      </c>
      <c r="F5" s="283">
        <v>140.80000000000001</v>
      </c>
      <c r="G5" s="284">
        <v>1</v>
      </c>
      <c r="H5" s="113">
        <v>10.8</v>
      </c>
      <c r="I5" s="283">
        <v>178.2</v>
      </c>
      <c r="J5" s="284">
        <v>1</v>
      </c>
      <c r="K5" s="113">
        <v>13.6</v>
      </c>
      <c r="L5" s="283">
        <v>219.9</v>
      </c>
      <c r="M5" s="284">
        <v>1</v>
      </c>
      <c r="N5" s="113">
        <v>16.8</v>
      </c>
      <c r="O5" s="283">
        <v>221.7</v>
      </c>
      <c r="P5" s="284">
        <v>1.2</v>
      </c>
      <c r="Q5" s="113">
        <v>16.899999999999999</v>
      </c>
      <c r="R5" s="113">
        <v>0.6</v>
      </c>
    </row>
    <row r="6" spans="1:21" ht="12.75" customHeight="1">
      <c r="A6" s="2"/>
      <c r="B6" s="111" t="s">
        <v>291</v>
      </c>
      <c r="C6" s="283">
        <v>49.1</v>
      </c>
      <c r="D6" s="284">
        <v>1</v>
      </c>
      <c r="E6" s="113">
        <v>80.5</v>
      </c>
      <c r="F6" s="283">
        <v>53.4</v>
      </c>
      <c r="G6" s="113">
        <v>1.2</v>
      </c>
      <c r="H6" s="113">
        <v>87.7</v>
      </c>
      <c r="I6" s="283">
        <v>60.1</v>
      </c>
      <c r="J6" s="113">
        <v>1.35</v>
      </c>
      <c r="K6" s="113">
        <v>88.8</v>
      </c>
      <c r="L6" s="283">
        <v>67</v>
      </c>
      <c r="M6" s="284">
        <v>1.5</v>
      </c>
      <c r="N6" s="113">
        <v>109</v>
      </c>
      <c r="O6" s="283">
        <v>117</v>
      </c>
      <c r="P6" s="284">
        <v>1.7</v>
      </c>
      <c r="Q6" s="113">
        <v>83</v>
      </c>
      <c r="R6" s="113">
        <v>0.13</v>
      </c>
    </row>
    <row r="7" spans="1:21" ht="12.75" customHeight="1">
      <c r="A7" s="2">
        <v>1</v>
      </c>
      <c r="B7" s="111" t="s">
        <v>292</v>
      </c>
      <c r="C7" s="283">
        <v>85.1</v>
      </c>
      <c r="D7" s="284">
        <v>1</v>
      </c>
      <c r="E7" s="113">
        <v>12.3</v>
      </c>
      <c r="F7" s="283">
        <v>111.1</v>
      </c>
      <c r="G7" s="284">
        <v>1</v>
      </c>
      <c r="H7" s="113">
        <v>16.100000000000001</v>
      </c>
      <c r="I7" s="283">
        <v>140.6</v>
      </c>
      <c r="J7" s="284">
        <v>1</v>
      </c>
      <c r="K7" s="113">
        <v>20.3</v>
      </c>
      <c r="L7" s="283">
        <v>173.5</v>
      </c>
      <c r="M7" s="284">
        <v>1</v>
      </c>
      <c r="N7" s="113">
        <v>25.1</v>
      </c>
      <c r="O7" s="283">
        <v>190.9</v>
      </c>
      <c r="P7" s="284">
        <v>1.1000000000000001</v>
      </c>
      <c r="Q7" s="113">
        <v>27.6</v>
      </c>
      <c r="R7" s="113">
        <v>0.436</v>
      </c>
    </row>
    <row r="8" spans="1:21" ht="10.5" customHeight="1">
      <c r="A8" s="2">
        <v>2</v>
      </c>
      <c r="B8" s="111" t="s">
        <v>88</v>
      </c>
      <c r="C8" s="283">
        <v>92.6</v>
      </c>
      <c r="D8" s="284">
        <v>1</v>
      </c>
      <c r="E8" s="113">
        <v>10.5</v>
      </c>
      <c r="F8" s="285">
        <v>120.9</v>
      </c>
      <c r="G8" s="284">
        <v>1</v>
      </c>
      <c r="H8" s="113">
        <v>13.8</v>
      </c>
      <c r="I8" s="283">
        <v>153.1</v>
      </c>
      <c r="J8" s="284">
        <v>1</v>
      </c>
      <c r="K8" s="286">
        <v>17.399999999999999</v>
      </c>
      <c r="L8" s="283">
        <v>188.9</v>
      </c>
      <c r="M8" s="284">
        <v>1</v>
      </c>
      <c r="N8" s="113">
        <v>21.5</v>
      </c>
      <c r="O8" s="283">
        <v>207.8</v>
      </c>
      <c r="P8" s="284">
        <v>1.1000000000000001</v>
      </c>
      <c r="Q8" s="113">
        <v>23.6</v>
      </c>
      <c r="R8" s="113">
        <v>0.49199999999999999</v>
      </c>
    </row>
    <row r="9" spans="1:21" ht="15" customHeight="1">
      <c r="A9" s="2"/>
      <c r="B9" s="111" t="s">
        <v>293</v>
      </c>
      <c r="C9" s="283">
        <v>85.6</v>
      </c>
      <c r="D9" s="284">
        <v>1</v>
      </c>
      <c r="E9" s="113">
        <v>19.7</v>
      </c>
      <c r="F9" s="283">
        <v>106.3</v>
      </c>
      <c r="G9" s="284">
        <v>1</v>
      </c>
      <c r="H9" s="113">
        <v>24.4</v>
      </c>
      <c r="I9" s="283">
        <v>141.9</v>
      </c>
      <c r="J9" s="284">
        <v>1</v>
      </c>
      <c r="K9" s="113">
        <v>32.6</v>
      </c>
      <c r="L9" s="283">
        <v>175.2</v>
      </c>
      <c r="M9" s="284">
        <v>1</v>
      </c>
      <c r="N9" s="113">
        <v>40.299999999999997</v>
      </c>
      <c r="O9" s="283">
        <v>212</v>
      </c>
      <c r="P9" s="284">
        <v>1.2</v>
      </c>
      <c r="Q9" s="113">
        <v>48.7</v>
      </c>
      <c r="R9" s="113">
        <v>0.376</v>
      </c>
    </row>
    <row r="10" spans="1:21" ht="12.75" customHeight="1">
      <c r="A10" s="2"/>
      <c r="B10" s="111" t="s">
        <v>294</v>
      </c>
      <c r="C10" s="283">
        <v>85.1</v>
      </c>
      <c r="D10" s="284">
        <v>1</v>
      </c>
      <c r="E10" s="113">
        <v>12.3</v>
      </c>
      <c r="F10" s="283">
        <v>111.1</v>
      </c>
      <c r="G10" s="284">
        <v>1</v>
      </c>
      <c r="H10" s="113">
        <v>16.100000000000001</v>
      </c>
      <c r="I10" s="283">
        <v>140.6</v>
      </c>
      <c r="J10" s="284">
        <v>1</v>
      </c>
      <c r="K10" s="113">
        <v>20.3</v>
      </c>
      <c r="L10" s="283">
        <v>173.5</v>
      </c>
      <c r="M10" s="284">
        <v>1</v>
      </c>
      <c r="N10" s="113">
        <v>25.1</v>
      </c>
      <c r="O10" s="283">
        <v>190.9</v>
      </c>
      <c r="P10" s="284">
        <v>1.1000000000000001</v>
      </c>
      <c r="Q10" s="113">
        <v>27.6</v>
      </c>
      <c r="R10" s="113">
        <v>0.436</v>
      </c>
    </row>
    <row r="11" spans="1:21" ht="12.75" customHeight="1">
      <c r="A11" s="2"/>
      <c r="B11" s="111" t="s">
        <v>295</v>
      </c>
      <c r="C11" s="283">
        <v>85.1</v>
      </c>
      <c r="D11" s="284">
        <v>1</v>
      </c>
      <c r="E11" s="113">
        <v>12.3</v>
      </c>
      <c r="F11" s="283">
        <v>111.1</v>
      </c>
      <c r="G11" s="284">
        <v>1</v>
      </c>
      <c r="H11" s="113">
        <v>16.100000000000001</v>
      </c>
      <c r="I11" s="283">
        <v>140.6</v>
      </c>
      <c r="J11" s="284">
        <v>1</v>
      </c>
      <c r="K11" s="113">
        <v>20.3</v>
      </c>
      <c r="L11" s="283">
        <v>173.5</v>
      </c>
      <c r="M11" s="284">
        <v>1</v>
      </c>
      <c r="N11" s="113">
        <v>25.1</v>
      </c>
      <c r="O11" s="283">
        <v>190.9</v>
      </c>
      <c r="P11" s="284">
        <v>1.1000000000000001</v>
      </c>
      <c r="Q11" s="113">
        <v>27.6</v>
      </c>
      <c r="R11" s="113">
        <v>0.436</v>
      </c>
    </row>
    <row r="12" spans="1:21" ht="12.75" customHeight="1">
      <c r="A12" s="2" t="s">
        <v>145</v>
      </c>
      <c r="B12" s="111" t="s">
        <v>604</v>
      </c>
      <c r="C12" s="272">
        <v>418.8</v>
      </c>
      <c r="D12" s="287">
        <v>0.99</v>
      </c>
      <c r="E12" s="272">
        <v>30</v>
      </c>
      <c r="F12" s="272">
        <v>558.4</v>
      </c>
      <c r="G12" s="287">
        <v>0.96</v>
      </c>
      <c r="H12" s="272">
        <v>40</v>
      </c>
      <c r="I12" s="272">
        <v>698</v>
      </c>
      <c r="J12" s="287">
        <v>0.95</v>
      </c>
      <c r="K12" s="272">
        <v>50</v>
      </c>
      <c r="L12" s="272">
        <v>837.6</v>
      </c>
      <c r="M12" s="287">
        <v>0.92</v>
      </c>
      <c r="N12" s="272">
        <v>60</v>
      </c>
      <c r="O12" s="272">
        <v>977.2</v>
      </c>
      <c r="P12" s="287">
        <v>0.88</v>
      </c>
      <c r="Q12" s="272">
        <v>70</v>
      </c>
      <c r="R12" s="272">
        <v>1.304</v>
      </c>
    </row>
    <row r="13" spans="1:21" ht="12.75" customHeight="1">
      <c r="A13" s="2"/>
      <c r="B13" s="105" t="s">
        <v>296</v>
      </c>
      <c r="C13" s="272">
        <v>87.2</v>
      </c>
      <c r="D13" s="287">
        <v>1</v>
      </c>
      <c r="E13" s="272">
        <v>35</v>
      </c>
      <c r="F13" s="272">
        <v>112.2</v>
      </c>
      <c r="G13" s="287">
        <v>1</v>
      </c>
      <c r="H13" s="272">
        <v>45</v>
      </c>
      <c r="I13" s="272">
        <v>137.1</v>
      </c>
      <c r="J13" s="287">
        <v>1</v>
      </c>
      <c r="K13" s="272">
        <v>55</v>
      </c>
      <c r="L13" s="272">
        <v>162.1</v>
      </c>
      <c r="M13" s="287">
        <v>1</v>
      </c>
      <c r="N13" s="272">
        <v>65</v>
      </c>
      <c r="O13" s="272">
        <v>199.5</v>
      </c>
      <c r="P13" s="287">
        <v>0.86</v>
      </c>
      <c r="Q13" s="272">
        <v>80</v>
      </c>
      <c r="R13" s="272">
        <v>0.27600000000000002</v>
      </c>
      <c r="U13" s="85"/>
    </row>
    <row r="14" spans="1:21" ht="12.75" customHeight="1">
      <c r="A14" s="2"/>
      <c r="B14" s="444" t="s">
        <v>616</v>
      </c>
      <c r="C14" s="272">
        <v>87.2</v>
      </c>
      <c r="D14" s="287">
        <v>1</v>
      </c>
      <c r="E14" s="272">
        <v>35</v>
      </c>
      <c r="F14" s="272">
        <v>112.2</v>
      </c>
      <c r="G14" s="287">
        <v>1</v>
      </c>
      <c r="H14" s="272">
        <v>45</v>
      </c>
      <c r="I14" s="272">
        <v>137.1</v>
      </c>
      <c r="J14" s="287">
        <v>1</v>
      </c>
      <c r="K14" s="272">
        <v>55</v>
      </c>
      <c r="L14" s="272">
        <v>162.1</v>
      </c>
      <c r="M14" s="287">
        <v>1</v>
      </c>
      <c r="N14" s="272">
        <v>65</v>
      </c>
      <c r="O14" s="272">
        <v>199.5</v>
      </c>
      <c r="P14" s="287">
        <v>0.86</v>
      </c>
      <c r="Q14" s="272">
        <v>80</v>
      </c>
      <c r="R14" s="272">
        <v>0.27600000000000002</v>
      </c>
      <c r="U14" s="85"/>
    </row>
    <row r="15" spans="1:21" ht="12.75" customHeight="1">
      <c r="A15" s="2"/>
      <c r="B15" s="281" t="s">
        <v>297</v>
      </c>
      <c r="C15" s="272">
        <v>104.7</v>
      </c>
      <c r="D15" s="287">
        <v>0.99</v>
      </c>
      <c r="E15" s="272">
        <v>30</v>
      </c>
      <c r="F15" s="272">
        <v>139.6</v>
      </c>
      <c r="G15" s="287">
        <v>0.96</v>
      </c>
      <c r="H15" s="272">
        <v>40</v>
      </c>
      <c r="I15" s="272">
        <v>174.5</v>
      </c>
      <c r="J15" s="287">
        <v>0.95</v>
      </c>
      <c r="K15" s="272">
        <v>50</v>
      </c>
      <c r="L15" s="272">
        <v>209.4</v>
      </c>
      <c r="M15" s="287">
        <v>0.92</v>
      </c>
      <c r="N15" s="272">
        <v>60</v>
      </c>
      <c r="O15" s="272">
        <v>244.3</v>
      </c>
      <c r="P15" s="287">
        <v>0.88</v>
      </c>
      <c r="Q15" s="272">
        <v>70</v>
      </c>
      <c r="R15" s="272">
        <v>0.32600000000000001</v>
      </c>
    </row>
    <row r="16" spans="1:21" ht="12.75" customHeight="1">
      <c r="A16" s="2">
        <v>4</v>
      </c>
      <c r="B16" s="281" t="s">
        <v>298</v>
      </c>
      <c r="C16" s="272">
        <v>123.7</v>
      </c>
      <c r="D16" s="287">
        <v>0.98</v>
      </c>
      <c r="E16" s="272">
        <v>25</v>
      </c>
      <c r="F16" s="272">
        <v>173.2</v>
      </c>
      <c r="G16" s="287">
        <v>0.93</v>
      </c>
      <c r="H16" s="272">
        <v>35</v>
      </c>
      <c r="I16" s="272">
        <v>197.9</v>
      </c>
      <c r="J16" s="287">
        <v>1</v>
      </c>
      <c r="K16" s="272">
        <v>40</v>
      </c>
      <c r="L16" s="272">
        <v>247.4</v>
      </c>
      <c r="M16" s="287">
        <v>0.97</v>
      </c>
      <c r="N16" s="272">
        <v>50</v>
      </c>
      <c r="O16" s="272">
        <v>296.8</v>
      </c>
      <c r="P16" s="287">
        <v>0.93</v>
      </c>
      <c r="Q16" s="272">
        <v>60</v>
      </c>
      <c r="R16" s="272">
        <v>0.38900000000000001</v>
      </c>
      <c r="T16" s="2"/>
    </row>
    <row r="17" spans="1:18" ht="12.75" customHeight="1">
      <c r="A17" s="2">
        <v>5</v>
      </c>
      <c r="B17" s="281" t="s">
        <v>299</v>
      </c>
      <c r="C17" s="272">
        <v>140.5</v>
      </c>
      <c r="D17" s="287">
        <v>1</v>
      </c>
      <c r="E17" s="272">
        <v>20</v>
      </c>
      <c r="F17" s="272">
        <v>210.8</v>
      </c>
      <c r="G17" s="287">
        <v>0.94</v>
      </c>
      <c r="H17" s="272">
        <v>30</v>
      </c>
      <c r="I17" s="272">
        <v>245.9</v>
      </c>
      <c r="J17" s="287">
        <v>1</v>
      </c>
      <c r="K17" s="272">
        <v>35</v>
      </c>
      <c r="L17" s="272">
        <v>316.2</v>
      </c>
      <c r="M17" s="287">
        <v>0.96</v>
      </c>
      <c r="N17" s="272">
        <v>45</v>
      </c>
      <c r="O17" s="272">
        <v>386.4</v>
      </c>
      <c r="P17" s="287">
        <v>0.91</v>
      </c>
      <c r="Q17" s="272">
        <v>55</v>
      </c>
      <c r="R17" s="272">
        <v>0.46600000000000003</v>
      </c>
    </row>
    <row r="18" spans="1:18" ht="12.75" customHeight="1">
      <c r="A18" s="2">
        <v>6</v>
      </c>
      <c r="B18" s="281" t="s">
        <v>300</v>
      </c>
      <c r="C18" s="272">
        <v>142.1</v>
      </c>
      <c r="D18" s="287">
        <v>1.1299999999999999</v>
      </c>
      <c r="E18" s="272">
        <v>15</v>
      </c>
      <c r="F18" s="272">
        <v>236.9</v>
      </c>
      <c r="G18" s="287">
        <v>0.98</v>
      </c>
      <c r="H18" s="272">
        <v>25</v>
      </c>
      <c r="I18" s="272">
        <v>331.6</v>
      </c>
      <c r="J18" s="287">
        <v>0.92</v>
      </c>
      <c r="K18" s="272">
        <v>35</v>
      </c>
      <c r="L18" s="272">
        <v>379</v>
      </c>
      <c r="M18" s="287">
        <v>0.98</v>
      </c>
      <c r="N18" s="272">
        <v>40</v>
      </c>
      <c r="O18" s="272">
        <v>473.8</v>
      </c>
      <c r="P18" s="287">
        <v>0.96</v>
      </c>
      <c r="Q18" s="272">
        <v>50</v>
      </c>
      <c r="R18" s="272">
        <v>0.54400000000000004</v>
      </c>
    </row>
    <row r="19" spans="1:18" ht="12.75" customHeight="1">
      <c r="A19" s="2">
        <v>7</v>
      </c>
      <c r="B19" s="107" t="s">
        <v>301</v>
      </c>
      <c r="C19" s="272">
        <v>174.4</v>
      </c>
      <c r="D19" s="287">
        <v>1</v>
      </c>
      <c r="E19" s="272">
        <v>35</v>
      </c>
      <c r="F19" s="272">
        <v>224.4</v>
      </c>
      <c r="G19" s="287">
        <v>1</v>
      </c>
      <c r="H19" s="272">
        <v>45</v>
      </c>
      <c r="I19" s="272">
        <v>274.2</v>
      </c>
      <c r="J19" s="287">
        <v>1</v>
      </c>
      <c r="K19" s="272">
        <v>55</v>
      </c>
      <c r="L19" s="272">
        <v>324.2</v>
      </c>
      <c r="M19" s="287">
        <v>1</v>
      </c>
      <c r="N19" s="272">
        <v>65</v>
      </c>
      <c r="O19" s="272">
        <v>399</v>
      </c>
      <c r="P19" s="287">
        <v>0.86</v>
      </c>
      <c r="Q19" s="272">
        <v>80</v>
      </c>
      <c r="R19" s="272">
        <v>0.53500000000000003</v>
      </c>
    </row>
    <row r="20" spans="1:18" ht="12.75" customHeight="1">
      <c r="A20" s="2">
        <v>8</v>
      </c>
      <c r="B20" s="281" t="s">
        <v>302</v>
      </c>
      <c r="C20" s="272">
        <v>209.4</v>
      </c>
      <c r="D20" s="287">
        <v>0.99</v>
      </c>
      <c r="E20" s="272">
        <v>30</v>
      </c>
      <c r="F20" s="272">
        <v>279.2</v>
      </c>
      <c r="G20" s="287">
        <v>0.96</v>
      </c>
      <c r="H20" s="272">
        <v>40</v>
      </c>
      <c r="I20" s="272">
        <v>349</v>
      </c>
      <c r="J20" s="287">
        <v>0.95</v>
      </c>
      <c r="K20" s="272">
        <v>50</v>
      </c>
      <c r="L20" s="272">
        <v>418.8</v>
      </c>
      <c r="M20" s="287">
        <v>0.92</v>
      </c>
      <c r="N20" s="272">
        <v>60</v>
      </c>
      <c r="O20" s="272">
        <v>488.6</v>
      </c>
      <c r="P20" s="287">
        <v>0.88</v>
      </c>
      <c r="Q20" s="272">
        <v>70</v>
      </c>
      <c r="R20" s="272">
        <v>0.60299999999999998</v>
      </c>
    </row>
    <row r="21" spans="1:18" ht="12.75" customHeight="1">
      <c r="A21" s="2"/>
      <c r="B21" s="281" t="s">
        <v>303</v>
      </c>
      <c r="C21" s="272">
        <v>395.4</v>
      </c>
      <c r="D21" s="287">
        <v>1</v>
      </c>
      <c r="E21" s="272">
        <v>30</v>
      </c>
      <c r="F21" s="272">
        <v>516.5</v>
      </c>
      <c r="G21" s="287">
        <v>1</v>
      </c>
      <c r="H21" s="272">
        <v>40</v>
      </c>
      <c r="I21" s="272">
        <v>653.79999999999995</v>
      </c>
      <c r="J21" s="287">
        <v>1</v>
      </c>
      <c r="K21" s="272">
        <v>50</v>
      </c>
      <c r="L21" s="272">
        <v>807.1</v>
      </c>
      <c r="M21" s="287">
        <v>1</v>
      </c>
      <c r="N21" s="272">
        <v>60</v>
      </c>
      <c r="O21" s="272">
        <v>976.3</v>
      </c>
      <c r="P21" s="287">
        <v>1</v>
      </c>
      <c r="Q21" s="272">
        <v>70</v>
      </c>
      <c r="R21" s="272">
        <v>1.4930000000000001</v>
      </c>
    </row>
    <row r="22" spans="1:18" ht="12.75" customHeight="1">
      <c r="A22" s="2"/>
      <c r="B22" s="107" t="s">
        <v>304</v>
      </c>
      <c r="C22" s="272">
        <v>348.8</v>
      </c>
      <c r="D22" s="287">
        <v>1</v>
      </c>
      <c r="E22" s="272">
        <v>35</v>
      </c>
      <c r="F22" s="272">
        <v>448.8</v>
      </c>
      <c r="G22" s="287">
        <v>1</v>
      </c>
      <c r="H22" s="272">
        <v>45</v>
      </c>
      <c r="I22" s="272">
        <v>548.4</v>
      </c>
      <c r="J22" s="287">
        <v>1</v>
      </c>
      <c r="K22" s="272">
        <v>55</v>
      </c>
      <c r="L22" s="272">
        <v>648.4</v>
      </c>
      <c r="M22" s="287">
        <v>1</v>
      </c>
      <c r="N22" s="272">
        <v>65</v>
      </c>
      <c r="O22" s="272">
        <v>798</v>
      </c>
      <c r="P22" s="287">
        <v>0.86</v>
      </c>
      <c r="Q22" s="272">
        <v>80</v>
      </c>
      <c r="R22" s="272">
        <v>1.1040000000000001</v>
      </c>
    </row>
    <row r="23" spans="1:18" ht="12.75" customHeight="1">
      <c r="A23" s="2"/>
      <c r="B23" s="105" t="s">
        <v>305</v>
      </c>
      <c r="C23" s="272">
        <v>418.8</v>
      </c>
      <c r="D23" s="287">
        <v>0.99</v>
      </c>
      <c r="E23" s="272">
        <v>30</v>
      </c>
      <c r="F23" s="272">
        <v>558.4</v>
      </c>
      <c r="G23" s="287">
        <v>0.96</v>
      </c>
      <c r="H23" s="272">
        <v>40</v>
      </c>
      <c r="I23" s="272">
        <v>698</v>
      </c>
      <c r="J23" s="287">
        <v>0.95</v>
      </c>
      <c r="K23" s="272">
        <v>50</v>
      </c>
      <c r="L23" s="272">
        <v>837.6</v>
      </c>
      <c r="M23" s="287">
        <v>0.92</v>
      </c>
      <c r="N23" s="272">
        <v>60</v>
      </c>
      <c r="O23" s="272">
        <v>977.2</v>
      </c>
      <c r="P23" s="287">
        <v>0.88</v>
      </c>
      <c r="Q23" s="272">
        <v>70</v>
      </c>
      <c r="R23" s="272">
        <v>1.304</v>
      </c>
    </row>
    <row r="24" spans="1:18" ht="12.75" customHeight="1">
      <c r="A24" s="2">
        <v>9</v>
      </c>
      <c r="B24" s="105" t="s">
        <v>306</v>
      </c>
      <c r="C24" s="272">
        <v>506</v>
      </c>
      <c r="D24" s="287">
        <v>1</v>
      </c>
      <c r="E24" s="272">
        <v>30</v>
      </c>
      <c r="F24" s="272">
        <v>670.6</v>
      </c>
      <c r="G24" s="287">
        <v>1</v>
      </c>
      <c r="H24" s="272">
        <v>40</v>
      </c>
      <c r="I24" s="272">
        <v>835.1</v>
      </c>
      <c r="J24" s="287">
        <v>1</v>
      </c>
      <c r="K24" s="272">
        <v>50</v>
      </c>
      <c r="L24" s="272">
        <v>999.7</v>
      </c>
      <c r="M24" s="287">
        <v>1</v>
      </c>
      <c r="N24" s="272">
        <v>60</v>
      </c>
      <c r="O24" s="272">
        <v>1176.7</v>
      </c>
      <c r="P24" s="287">
        <v>0.88</v>
      </c>
      <c r="Q24" s="272">
        <v>70</v>
      </c>
      <c r="R24" s="272">
        <v>1.3800000000000001</v>
      </c>
    </row>
    <row r="25" spans="1:18" ht="12.75" customHeight="1">
      <c r="A25" s="2">
        <v>10</v>
      </c>
      <c r="B25" s="105" t="s">
        <v>307</v>
      </c>
      <c r="C25" s="272">
        <v>523.5</v>
      </c>
      <c r="D25" s="287">
        <v>0.99</v>
      </c>
      <c r="E25" s="272">
        <v>30</v>
      </c>
      <c r="F25" s="272">
        <v>698</v>
      </c>
      <c r="G25" s="287">
        <v>0.96</v>
      </c>
      <c r="H25" s="272">
        <v>40</v>
      </c>
      <c r="I25" s="272">
        <v>872.5</v>
      </c>
      <c r="J25" s="287">
        <v>0.95</v>
      </c>
      <c r="K25" s="272">
        <v>50</v>
      </c>
      <c r="L25" s="272">
        <v>1047</v>
      </c>
      <c r="M25" s="287">
        <v>0.92</v>
      </c>
      <c r="N25" s="272">
        <v>60</v>
      </c>
      <c r="O25" s="272">
        <v>1221.5</v>
      </c>
      <c r="P25" s="287">
        <v>0.88</v>
      </c>
      <c r="Q25" s="272">
        <v>70</v>
      </c>
      <c r="R25" s="272">
        <v>1.6300000000000001</v>
      </c>
    </row>
    <row r="26" spans="1:18" ht="12.75" customHeight="1">
      <c r="A26" s="2">
        <v>14</v>
      </c>
      <c r="B26" s="107" t="s">
        <v>308</v>
      </c>
      <c r="C26" s="272">
        <v>494.8</v>
      </c>
      <c r="D26" s="287">
        <v>0.98</v>
      </c>
      <c r="E26" s="272">
        <v>25</v>
      </c>
      <c r="F26" s="272">
        <v>692.8</v>
      </c>
      <c r="G26" s="287">
        <v>0.93</v>
      </c>
      <c r="H26" s="272">
        <v>35</v>
      </c>
      <c r="I26" s="272">
        <v>791.6</v>
      </c>
      <c r="J26" s="287">
        <v>1</v>
      </c>
      <c r="K26" s="272">
        <v>45</v>
      </c>
      <c r="L26" s="272">
        <v>989.6</v>
      </c>
      <c r="M26" s="287">
        <v>0.97</v>
      </c>
      <c r="N26" s="272">
        <v>55</v>
      </c>
      <c r="O26" s="272">
        <v>1187.2</v>
      </c>
      <c r="P26" s="287">
        <v>0.93</v>
      </c>
      <c r="Q26" s="272">
        <v>60</v>
      </c>
      <c r="R26" s="272">
        <v>1.556</v>
      </c>
    </row>
    <row r="27" spans="1:18" ht="12.75" customHeight="1">
      <c r="A27" s="2">
        <v>18</v>
      </c>
      <c r="B27" s="107" t="s">
        <v>309</v>
      </c>
      <c r="C27" s="272">
        <v>582</v>
      </c>
      <c r="D27" s="287">
        <v>1</v>
      </c>
      <c r="E27" s="272">
        <v>25</v>
      </c>
      <c r="F27" s="272">
        <v>805</v>
      </c>
      <c r="G27" s="287">
        <v>1</v>
      </c>
      <c r="H27" s="272">
        <v>35</v>
      </c>
      <c r="I27" s="272">
        <v>928.7</v>
      </c>
      <c r="J27" s="287">
        <v>1</v>
      </c>
      <c r="K27" s="272">
        <v>45</v>
      </c>
      <c r="L27" s="272">
        <v>1151.7</v>
      </c>
      <c r="M27" s="287">
        <v>1</v>
      </c>
      <c r="N27" s="272">
        <v>55</v>
      </c>
      <c r="O27" s="272">
        <v>1386.7</v>
      </c>
      <c r="P27" s="287">
        <v>0.93</v>
      </c>
      <c r="Q27" s="272">
        <v>60</v>
      </c>
      <c r="R27" s="272">
        <v>1.58</v>
      </c>
    </row>
    <row r="28" spans="1:18" ht="12.75" customHeight="1">
      <c r="A28" s="2">
        <v>11</v>
      </c>
      <c r="B28" s="105" t="s">
        <v>310</v>
      </c>
      <c r="C28" s="272">
        <v>599.5</v>
      </c>
      <c r="D28" s="287">
        <v>0.99</v>
      </c>
      <c r="E28" s="272">
        <v>25</v>
      </c>
      <c r="F28" s="272">
        <v>832.4</v>
      </c>
      <c r="G28" s="287">
        <v>0.96</v>
      </c>
      <c r="H28" s="272">
        <v>35</v>
      </c>
      <c r="I28" s="272">
        <v>966.1</v>
      </c>
      <c r="J28" s="287">
        <v>1</v>
      </c>
      <c r="K28" s="272">
        <v>45</v>
      </c>
      <c r="L28" s="272">
        <v>1199</v>
      </c>
      <c r="M28" s="287">
        <v>0.97</v>
      </c>
      <c r="N28" s="272">
        <v>55</v>
      </c>
      <c r="O28" s="272">
        <v>1431.5</v>
      </c>
      <c r="P28" s="287">
        <v>0.93</v>
      </c>
      <c r="Q28" s="272">
        <v>60</v>
      </c>
      <c r="R28" s="272">
        <v>1.8820000000000001</v>
      </c>
    </row>
    <row r="29" spans="1:18" ht="12.75" customHeight="1">
      <c r="A29" s="2">
        <v>15</v>
      </c>
      <c r="B29" s="105" t="s">
        <v>311</v>
      </c>
      <c r="C29" s="272">
        <v>562</v>
      </c>
      <c r="D29" s="287">
        <v>1</v>
      </c>
      <c r="E29" s="272">
        <v>20</v>
      </c>
      <c r="F29" s="272">
        <v>843.2</v>
      </c>
      <c r="G29" s="287">
        <v>0.94</v>
      </c>
      <c r="H29" s="272">
        <v>30</v>
      </c>
      <c r="I29" s="272">
        <v>983.6</v>
      </c>
      <c r="J29" s="287">
        <v>1</v>
      </c>
      <c r="K29" s="272">
        <v>40</v>
      </c>
      <c r="L29" s="272">
        <v>1264.8</v>
      </c>
      <c r="M29" s="287">
        <v>0.96</v>
      </c>
      <c r="N29" s="272">
        <v>50</v>
      </c>
      <c r="O29" s="272">
        <v>1545.6</v>
      </c>
      <c r="P29" s="287">
        <v>0.91</v>
      </c>
      <c r="Q29" s="272">
        <v>50</v>
      </c>
      <c r="R29" s="272">
        <v>1.8640000000000001</v>
      </c>
    </row>
    <row r="30" spans="1:18" ht="12.75" customHeight="1">
      <c r="A30" s="2">
        <v>19</v>
      </c>
      <c r="B30" s="105" t="s">
        <v>312</v>
      </c>
      <c r="C30" s="272">
        <v>649.20000000000005</v>
      </c>
      <c r="D30" s="287">
        <v>1</v>
      </c>
      <c r="E30" s="272">
        <v>20</v>
      </c>
      <c r="F30" s="272">
        <v>955.40000000000009</v>
      </c>
      <c r="G30" s="287">
        <v>1</v>
      </c>
      <c r="H30" s="272">
        <v>30</v>
      </c>
      <c r="I30" s="272">
        <v>1120.7</v>
      </c>
      <c r="J30" s="287">
        <v>1</v>
      </c>
      <c r="K30" s="272">
        <v>40</v>
      </c>
      <c r="L30" s="272">
        <v>1426.8999999999999</v>
      </c>
      <c r="M30" s="287">
        <v>1</v>
      </c>
      <c r="N30" s="272">
        <v>50</v>
      </c>
      <c r="O30" s="272">
        <v>1745.1</v>
      </c>
      <c r="P30" s="287">
        <v>0.91</v>
      </c>
      <c r="Q30" s="272">
        <v>50</v>
      </c>
      <c r="R30" s="272">
        <v>1.8320000000000001</v>
      </c>
    </row>
    <row r="31" spans="1:18" ht="12.75" customHeight="1">
      <c r="A31" s="2">
        <v>12</v>
      </c>
      <c r="B31" s="105" t="s">
        <v>313</v>
      </c>
      <c r="C31" s="272">
        <v>666.7</v>
      </c>
      <c r="D31" s="287">
        <v>1</v>
      </c>
      <c r="E31" s="272">
        <v>20</v>
      </c>
      <c r="F31" s="272">
        <v>982.80000000000007</v>
      </c>
      <c r="G31" s="287">
        <v>0.96</v>
      </c>
      <c r="H31" s="272">
        <v>30</v>
      </c>
      <c r="I31" s="272">
        <v>1158.0999999999999</v>
      </c>
      <c r="J31" s="287">
        <v>1</v>
      </c>
      <c r="K31" s="272">
        <v>40</v>
      </c>
      <c r="L31" s="272">
        <v>1474.2</v>
      </c>
      <c r="M31" s="287">
        <v>0.96</v>
      </c>
      <c r="N31" s="272">
        <v>50</v>
      </c>
      <c r="O31" s="272">
        <v>1789.8999999999999</v>
      </c>
      <c r="P31" s="287">
        <v>0.91</v>
      </c>
      <c r="Q31" s="272">
        <v>50</v>
      </c>
      <c r="R31" s="272">
        <v>2.19</v>
      </c>
    </row>
    <row r="32" spans="1:18" ht="12.75" customHeight="1">
      <c r="A32" s="2">
        <v>16</v>
      </c>
      <c r="B32" s="105" t="s">
        <v>314</v>
      </c>
      <c r="C32" s="272">
        <v>568.4</v>
      </c>
      <c r="D32" s="287">
        <v>1.1299999999999999</v>
      </c>
      <c r="E32" s="272">
        <v>15</v>
      </c>
      <c r="F32" s="272">
        <v>947.6</v>
      </c>
      <c r="G32" s="287">
        <v>0.98</v>
      </c>
      <c r="H32" s="272">
        <v>25</v>
      </c>
      <c r="I32" s="272">
        <v>1326.4</v>
      </c>
      <c r="J32" s="287">
        <v>0.92</v>
      </c>
      <c r="K32" s="272">
        <v>35</v>
      </c>
      <c r="L32" s="272">
        <v>1516</v>
      </c>
      <c r="M32" s="287">
        <v>0.98</v>
      </c>
      <c r="N32" s="272">
        <v>45</v>
      </c>
      <c r="O32" s="272">
        <v>1895.2</v>
      </c>
      <c r="P32" s="287">
        <v>0.96</v>
      </c>
      <c r="Q32" s="272">
        <v>40</v>
      </c>
      <c r="R32" s="272">
        <v>2.1760000000000002</v>
      </c>
    </row>
    <row r="33" spans="1:18" ht="12.75" customHeight="1">
      <c r="A33" s="2">
        <v>20</v>
      </c>
      <c r="B33" s="105" t="s">
        <v>315</v>
      </c>
      <c r="C33" s="272">
        <v>655.6</v>
      </c>
      <c r="D33" s="287">
        <v>1.1299999999999999</v>
      </c>
      <c r="E33" s="272">
        <v>15</v>
      </c>
      <c r="F33" s="272">
        <v>1059.8</v>
      </c>
      <c r="G33" s="287">
        <v>1</v>
      </c>
      <c r="H33" s="272">
        <v>25</v>
      </c>
      <c r="I33" s="272">
        <v>1463.5</v>
      </c>
      <c r="J33" s="287">
        <v>1</v>
      </c>
      <c r="K33" s="272">
        <v>35</v>
      </c>
      <c r="L33" s="272">
        <v>1678.1</v>
      </c>
      <c r="M33" s="287">
        <v>1</v>
      </c>
      <c r="N33" s="272">
        <v>45</v>
      </c>
      <c r="O33" s="272">
        <v>2094.6999999999998</v>
      </c>
      <c r="P33" s="287">
        <v>0.96</v>
      </c>
      <c r="Q33" s="272">
        <v>40</v>
      </c>
      <c r="R33" s="272">
        <v>2.14</v>
      </c>
    </row>
    <row r="34" spans="1:18" ht="12.75" customHeight="1">
      <c r="A34" s="2">
        <v>13</v>
      </c>
      <c r="B34" s="105" t="s">
        <v>316</v>
      </c>
      <c r="C34" s="272">
        <v>673.1</v>
      </c>
      <c r="D34" s="287">
        <v>1.1299999999999999</v>
      </c>
      <c r="E34" s="272">
        <v>15</v>
      </c>
      <c r="F34" s="272">
        <v>1087.2</v>
      </c>
      <c r="G34" s="287">
        <v>0.98</v>
      </c>
      <c r="H34" s="272">
        <v>25</v>
      </c>
      <c r="I34" s="272">
        <v>1500.9</v>
      </c>
      <c r="J34" s="287">
        <v>0.95</v>
      </c>
      <c r="K34" s="272">
        <v>35</v>
      </c>
      <c r="L34" s="272">
        <v>1725.4</v>
      </c>
      <c r="M34" s="287">
        <v>0.98</v>
      </c>
      <c r="N34" s="272">
        <v>45</v>
      </c>
      <c r="O34" s="272">
        <v>2139.5</v>
      </c>
      <c r="P34" s="287">
        <v>0.96</v>
      </c>
      <c r="Q34" s="272">
        <v>40</v>
      </c>
      <c r="R34" s="272">
        <v>2.5020000000000002</v>
      </c>
    </row>
    <row r="35" spans="1:18" ht="12.75" customHeight="1">
      <c r="A35" s="2">
        <v>17</v>
      </c>
      <c r="B35" s="105" t="s">
        <v>317</v>
      </c>
      <c r="C35" s="272">
        <v>163</v>
      </c>
      <c r="D35" s="287">
        <v>1</v>
      </c>
      <c r="E35" s="272">
        <v>32.5</v>
      </c>
      <c r="F35" s="272">
        <v>163</v>
      </c>
      <c r="G35" s="287">
        <v>1</v>
      </c>
      <c r="H35" s="272">
        <v>32.5</v>
      </c>
      <c r="I35" s="272">
        <v>163</v>
      </c>
      <c r="J35" s="287">
        <v>1</v>
      </c>
      <c r="K35" s="272">
        <v>32.5</v>
      </c>
      <c r="L35" s="272">
        <v>213</v>
      </c>
      <c r="M35" s="287">
        <v>1.5</v>
      </c>
      <c r="N35" s="272">
        <v>42.5</v>
      </c>
      <c r="O35" s="272">
        <v>213</v>
      </c>
      <c r="P35" s="287">
        <v>1.5</v>
      </c>
      <c r="Q35" s="272">
        <v>42.5</v>
      </c>
      <c r="R35" s="272">
        <v>0.72</v>
      </c>
    </row>
    <row r="36" spans="1:18" ht="12.75" customHeight="1">
      <c r="A36" s="2">
        <v>21</v>
      </c>
      <c r="B36" s="105" t="s">
        <v>318</v>
      </c>
      <c r="C36" s="272">
        <v>193</v>
      </c>
      <c r="D36" s="287">
        <v>1</v>
      </c>
      <c r="E36" s="272">
        <v>27.5</v>
      </c>
      <c r="F36" s="272">
        <v>193</v>
      </c>
      <c r="G36" s="287">
        <v>1</v>
      </c>
      <c r="H36" s="272">
        <v>27.5</v>
      </c>
      <c r="I36" s="272">
        <v>193</v>
      </c>
      <c r="J36" s="287">
        <v>1</v>
      </c>
      <c r="K36" s="272">
        <v>27.5</v>
      </c>
      <c r="L36" s="272">
        <v>263</v>
      </c>
      <c r="M36" s="287">
        <v>1.5</v>
      </c>
      <c r="N36" s="272">
        <v>37.5</v>
      </c>
      <c r="O36" s="272">
        <v>263</v>
      </c>
      <c r="P36" s="287">
        <v>1.5</v>
      </c>
      <c r="Q36" s="272">
        <v>37.5</v>
      </c>
      <c r="R36" s="272">
        <v>0.8</v>
      </c>
    </row>
    <row r="37" spans="1:18" ht="12.75" customHeight="1">
      <c r="A37" s="2"/>
      <c r="B37" s="105" t="s">
        <v>319</v>
      </c>
      <c r="C37" s="272">
        <v>600</v>
      </c>
      <c r="D37" s="272">
        <v>1</v>
      </c>
      <c r="E37" s="272">
        <v>12.5</v>
      </c>
      <c r="F37" s="272">
        <v>576</v>
      </c>
      <c r="G37" s="287">
        <v>1.1499999999999999</v>
      </c>
      <c r="H37" s="272">
        <v>12</v>
      </c>
      <c r="I37" s="272">
        <v>648</v>
      </c>
      <c r="J37" s="287">
        <v>1.3</v>
      </c>
      <c r="K37" s="272">
        <v>13.5</v>
      </c>
      <c r="L37" s="272">
        <v>840</v>
      </c>
      <c r="M37" s="287">
        <v>1.5</v>
      </c>
      <c r="N37" s="272">
        <v>17.5</v>
      </c>
      <c r="O37" s="272">
        <v>744</v>
      </c>
      <c r="P37" s="287">
        <v>1.65</v>
      </c>
      <c r="Q37" s="272">
        <v>15.5</v>
      </c>
      <c r="R37" s="272">
        <v>1.58</v>
      </c>
    </row>
    <row r="38" spans="1:18" ht="12.75" customHeight="1">
      <c r="A38" s="2"/>
      <c r="B38" s="105" t="s">
        <v>320</v>
      </c>
      <c r="C38" s="272">
        <v>600</v>
      </c>
      <c r="D38" s="272">
        <v>1</v>
      </c>
      <c r="E38" s="272">
        <v>12.5</v>
      </c>
      <c r="F38" s="272">
        <v>600</v>
      </c>
      <c r="G38" s="287">
        <v>1.1499999999999999</v>
      </c>
      <c r="H38" s="272">
        <v>12.5</v>
      </c>
      <c r="I38" s="272">
        <v>816</v>
      </c>
      <c r="J38" s="287">
        <v>1.3</v>
      </c>
      <c r="K38" s="272">
        <v>17</v>
      </c>
      <c r="L38" s="272">
        <v>840</v>
      </c>
      <c r="M38" s="287">
        <v>1.5</v>
      </c>
      <c r="N38" s="272">
        <v>17.5</v>
      </c>
      <c r="O38" s="272">
        <v>768</v>
      </c>
      <c r="P38" s="287">
        <v>1.65</v>
      </c>
      <c r="Q38" s="272">
        <v>16</v>
      </c>
      <c r="R38" s="272">
        <v>1.64</v>
      </c>
    </row>
    <row r="39" spans="1:18" ht="12.75" customHeight="1">
      <c r="A39" s="2">
        <v>27</v>
      </c>
      <c r="B39" s="105" t="s">
        <v>79</v>
      </c>
      <c r="C39" s="272">
        <v>600</v>
      </c>
      <c r="D39" s="272">
        <v>1</v>
      </c>
      <c r="E39" s="272">
        <v>12.5</v>
      </c>
      <c r="F39" s="272">
        <v>648</v>
      </c>
      <c r="G39" s="287">
        <v>1.1499999999999999</v>
      </c>
      <c r="H39" s="272">
        <v>13.5</v>
      </c>
      <c r="I39" s="272">
        <v>720</v>
      </c>
      <c r="J39" s="287">
        <v>1.3</v>
      </c>
      <c r="K39" s="272">
        <v>15</v>
      </c>
      <c r="L39" s="272">
        <v>840</v>
      </c>
      <c r="M39" s="287">
        <v>1.5</v>
      </c>
      <c r="N39" s="272">
        <v>17.5</v>
      </c>
      <c r="O39" s="272">
        <v>840</v>
      </c>
      <c r="P39" s="287">
        <v>1.65</v>
      </c>
      <c r="Q39" s="272">
        <v>17.5</v>
      </c>
      <c r="R39" s="272">
        <v>1.89</v>
      </c>
    </row>
    <row r="40" spans="1:18" ht="12.75" customHeight="1">
      <c r="A40" s="2">
        <v>42</v>
      </c>
      <c r="B40" s="105" t="s">
        <v>321</v>
      </c>
      <c r="C40" s="272">
        <v>600</v>
      </c>
      <c r="D40" s="272">
        <v>1</v>
      </c>
      <c r="E40" s="272">
        <v>12.5</v>
      </c>
      <c r="F40" s="272">
        <v>672</v>
      </c>
      <c r="G40" s="287">
        <v>1.1499999999999999</v>
      </c>
      <c r="H40" s="272">
        <v>14</v>
      </c>
      <c r="I40" s="272">
        <v>744</v>
      </c>
      <c r="J40" s="287">
        <v>1.3</v>
      </c>
      <c r="K40" s="272">
        <v>15.5</v>
      </c>
      <c r="L40" s="272">
        <v>960</v>
      </c>
      <c r="M40" s="287">
        <v>1.5</v>
      </c>
      <c r="N40" s="272">
        <v>20</v>
      </c>
      <c r="O40" s="272">
        <v>888</v>
      </c>
      <c r="P40" s="287">
        <v>1.65</v>
      </c>
      <c r="Q40" s="272">
        <v>18.5</v>
      </c>
      <c r="R40" s="272">
        <v>1.99</v>
      </c>
    </row>
    <row r="41" spans="1:18" ht="12.75" customHeight="1">
      <c r="A41" s="2">
        <v>44</v>
      </c>
      <c r="B41" s="105" t="s">
        <v>322</v>
      </c>
      <c r="C41" s="272">
        <v>600</v>
      </c>
      <c r="D41" s="272">
        <v>1</v>
      </c>
      <c r="E41" s="272">
        <v>12.5</v>
      </c>
      <c r="F41" s="272">
        <v>600</v>
      </c>
      <c r="G41" s="287">
        <v>1.1499999999999999</v>
      </c>
      <c r="H41" s="272">
        <v>12.5</v>
      </c>
      <c r="I41" s="272">
        <v>672</v>
      </c>
      <c r="J41" s="287">
        <v>1.3</v>
      </c>
      <c r="K41" s="272">
        <v>14</v>
      </c>
      <c r="L41" s="272">
        <v>840</v>
      </c>
      <c r="M41" s="287">
        <v>1.5</v>
      </c>
      <c r="N41" s="272">
        <v>17.5</v>
      </c>
      <c r="O41" s="272">
        <v>792</v>
      </c>
      <c r="P41" s="287">
        <v>1.65</v>
      </c>
      <c r="Q41" s="272">
        <v>16.5</v>
      </c>
      <c r="R41" s="272">
        <v>1.65</v>
      </c>
    </row>
    <row r="42" spans="1:18" ht="12.75" customHeight="1">
      <c r="A42" s="2">
        <v>45</v>
      </c>
      <c r="B42" s="105" t="s">
        <v>323</v>
      </c>
      <c r="C42" s="272">
        <v>225</v>
      </c>
      <c r="D42" s="272">
        <v>1</v>
      </c>
      <c r="E42" s="272">
        <v>22.5</v>
      </c>
      <c r="F42" s="272">
        <v>235</v>
      </c>
      <c r="G42" s="287">
        <v>1.1499999999999999</v>
      </c>
      <c r="H42" s="272">
        <v>23.5</v>
      </c>
      <c r="I42" s="272">
        <v>265</v>
      </c>
      <c r="J42" s="287">
        <v>1.3</v>
      </c>
      <c r="K42" s="272">
        <v>26.5</v>
      </c>
      <c r="L42" s="272">
        <v>300</v>
      </c>
      <c r="M42" s="287">
        <v>1.5</v>
      </c>
      <c r="N42" s="272">
        <v>30</v>
      </c>
      <c r="O42" s="272">
        <v>315</v>
      </c>
      <c r="P42" s="287">
        <v>1.65</v>
      </c>
      <c r="Q42" s="272">
        <v>31.5</v>
      </c>
      <c r="R42" s="272">
        <v>0.83799999999999997</v>
      </c>
    </row>
    <row r="43" spans="1:18" ht="12.75" customHeight="1">
      <c r="A43" s="2">
        <v>43</v>
      </c>
      <c r="B43" s="105" t="s">
        <v>324</v>
      </c>
      <c r="C43" s="272">
        <v>280</v>
      </c>
      <c r="D43" s="272">
        <v>1</v>
      </c>
      <c r="E43" s="272">
        <v>20</v>
      </c>
      <c r="F43" s="272">
        <v>273</v>
      </c>
      <c r="G43" s="287">
        <v>1.1499999999999999</v>
      </c>
      <c r="H43" s="272">
        <v>19.5</v>
      </c>
      <c r="I43" s="272">
        <v>308</v>
      </c>
      <c r="J43" s="287">
        <v>1.3</v>
      </c>
      <c r="K43" s="272">
        <v>22</v>
      </c>
      <c r="L43" s="272">
        <v>385</v>
      </c>
      <c r="M43" s="287">
        <v>1.5</v>
      </c>
      <c r="N43" s="272">
        <v>27.5</v>
      </c>
      <c r="O43" s="272">
        <v>364</v>
      </c>
      <c r="P43" s="287">
        <v>1.65</v>
      </c>
      <c r="Q43" s="272">
        <v>26</v>
      </c>
      <c r="R43" s="272">
        <v>0.94</v>
      </c>
    </row>
    <row r="44" spans="1:18" ht="12.75" customHeight="1">
      <c r="A44" s="2">
        <v>22</v>
      </c>
      <c r="B44" s="105" t="s">
        <v>325</v>
      </c>
      <c r="C44" s="272">
        <v>315</v>
      </c>
      <c r="D44" s="272">
        <v>1</v>
      </c>
      <c r="E44" s="272">
        <v>22.5</v>
      </c>
      <c r="F44" s="272">
        <v>294</v>
      </c>
      <c r="G44" s="287">
        <v>1.1499999999999999</v>
      </c>
      <c r="H44" s="272">
        <v>21</v>
      </c>
      <c r="I44" s="272">
        <v>336</v>
      </c>
      <c r="J44" s="287">
        <v>1.3</v>
      </c>
      <c r="K44" s="272">
        <v>24</v>
      </c>
      <c r="L44" s="272">
        <v>420</v>
      </c>
      <c r="M44" s="287">
        <v>1.5</v>
      </c>
      <c r="N44" s="272">
        <v>30</v>
      </c>
      <c r="O44" s="272">
        <v>399</v>
      </c>
      <c r="P44" s="287">
        <v>1.65</v>
      </c>
      <c r="Q44" s="272">
        <v>28.5</v>
      </c>
      <c r="R44" s="272">
        <v>1.05</v>
      </c>
    </row>
    <row r="45" spans="1:18" ht="12.75" customHeight="1">
      <c r="A45" s="2">
        <v>23</v>
      </c>
      <c r="B45" s="105" t="s">
        <v>326</v>
      </c>
      <c r="C45" s="272">
        <v>315</v>
      </c>
      <c r="D45" s="272">
        <v>1</v>
      </c>
      <c r="E45" s="272">
        <v>22.5</v>
      </c>
      <c r="F45" s="272">
        <v>315</v>
      </c>
      <c r="G45" s="287">
        <v>1.1499999999999999</v>
      </c>
      <c r="H45" s="272">
        <v>22.5</v>
      </c>
      <c r="I45" s="272">
        <v>350</v>
      </c>
      <c r="J45" s="287">
        <v>1.3</v>
      </c>
      <c r="K45" s="272">
        <v>25</v>
      </c>
      <c r="L45" s="272">
        <v>420</v>
      </c>
      <c r="M45" s="287">
        <v>1.5</v>
      </c>
      <c r="N45" s="272">
        <v>30</v>
      </c>
      <c r="O45" s="272">
        <v>420</v>
      </c>
      <c r="P45" s="287">
        <v>1.65</v>
      </c>
      <c r="Q45" s="272">
        <v>30</v>
      </c>
      <c r="R45" s="272">
        <v>1.1100000000000001</v>
      </c>
    </row>
    <row r="46" spans="1:18" ht="12.75" customHeight="1">
      <c r="A46" s="2">
        <v>28</v>
      </c>
      <c r="B46" s="107" t="s">
        <v>327</v>
      </c>
      <c r="C46" s="272">
        <v>350</v>
      </c>
      <c r="D46" s="272">
        <v>1</v>
      </c>
      <c r="E46" s="272">
        <v>17.5</v>
      </c>
      <c r="F46" s="272">
        <v>330</v>
      </c>
      <c r="G46" s="287">
        <v>1.1499999999999999</v>
      </c>
      <c r="H46" s="272">
        <v>16.5</v>
      </c>
      <c r="I46" s="272">
        <v>370</v>
      </c>
      <c r="J46" s="287">
        <v>1.3</v>
      </c>
      <c r="K46" s="272">
        <v>18.5</v>
      </c>
      <c r="L46" s="272">
        <v>450</v>
      </c>
      <c r="M46" s="287">
        <v>1.5</v>
      </c>
      <c r="N46" s="272">
        <v>22.5</v>
      </c>
      <c r="O46" s="272">
        <v>440</v>
      </c>
      <c r="P46" s="287">
        <v>1.65</v>
      </c>
      <c r="Q46" s="272">
        <v>22</v>
      </c>
      <c r="R46" s="272">
        <v>1.0900000000000001</v>
      </c>
    </row>
    <row r="47" spans="1:18" ht="12.75" customHeight="1">
      <c r="A47" s="2">
        <v>29</v>
      </c>
      <c r="B47" s="105" t="s">
        <v>328</v>
      </c>
      <c r="C47" s="272">
        <v>350</v>
      </c>
      <c r="D47" s="272">
        <v>1</v>
      </c>
      <c r="E47" s="272">
        <v>17.5</v>
      </c>
      <c r="F47" s="272">
        <v>350</v>
      </c>
      <c r="G47" s="287">
        <v>1.1499999999999999</v>
      </c>
      <c r="H47" s="272">
        <v>17.5</v>
      </c>
      <c r="I47" s="272">
        <v>400</v>
      </c>
      <c r="J47" s="287">
        <v>1.3</v>
      </c>
      <c r="K47" s="272">
        <v>20</v>
      </c>
      <c r="L47" s="272">
        <v>500</v>
      </c>
      <c r="M47" s="287">
        <v>1.5</v>
      </c>
      <c r="N47" s="272">
        <v>25</v>
      </c>
      <c r="O47" s="272">
        <v>530</v>
      </c>
      <c r="P47" s="287">
        <v>1.65</v>
      </c>
      <c r="Q47" s="272">
        <v>26.5</v>
      </c>
      <c r="R47" s="272">
        <v>1.1599999999999999</v>
      </c>
    </row>
    <row r="48" spans="1:18" ht="12.75" customHeight="1">
      <c r="A48" s="2">
        <v>24</v>
      </c>
      <c r="B48" s="105" t="s">
        <v>329</v>
      </c>
      <c r="C48" s="272">
        <v>400</v>
      </c>
      <c r="D48" s="272">
        <v>1</v>
      </c>
      <c r="E48" s="272">
        <v>20</v>
      </c>
      <c r="F48" s="272">
        <v>400</v>
      </c>
      <c r="G48" s="287">
        <v>1.1499999999999999</v>
      </c>
      <c r="H48" s="272">
        <v>20</v>
      </c>
      <c r="I48" s="272">
        <v>450</v>
      </c>
      <c r="J48" s="287">
        <v>1.3</v>
      </c>
      <c r="K48" s="272">
        <v>22.5</v>
      </c>
      <c r="L48" s="272">
        <v>600</v>
      </c>
      <c r="M48" s="287">
        <v>1.5</v>
      </c>
      <c r="N48" s="272">
        <v>30</v>
      </c>
      <c r="O48" s="272">
        <v>530</v>
      </c>
      <c r="P48" s="287">
        <v>1.65</v>
      </c>
      <c r="Q48" s="272">
        <v>26.5</v>
      </c>
      <c r="R48" s="272">
        <v>1.34</v>
      </c>
    </row>
    <row r="49" spans="1:20" ht="12.75" customHeight="1">
      <c r="A49" s="2">
        <v>30</v>
      </c>
      <c r="B49" s="105" t="s">
        <v>330</v>
      </c>
      <c r="C49" s="272">
        <v>400</v>
      </c>
      <c r="D49" s="272">
        <v>1</v>
      </c>
      <c r="E49" s="272">
        <v>20</v>
      </c>
      <c r="F49" s="272">
        <v>410</v>
      </c>
      <c r="G49" s="287">
        <v>1.1499999999999999</v>
      </c>
      <c r="H49" s="272">
        <v>20.5</v>
      </c>
      <c r="I49" s="272">
        <v>470</v>
      </c>
      <c r="J49" s="287">
        <v>1.3</v>
      </c>
      <c r="K49" s="272">
        <v>23.5</v>
      </c>
      <c r="L49" s="272">
        <v>600</v>
      </c>
      <c r="M49" s="287">
        <v>1.5</v>
      </c>
      <c r="N49" s="272">
        <v>30</v>
      </c>
      <c r="O49" s="272">
        <v>550</v>
      </c>
      <c r="P49" s="287">
        <v>1.65</v>
      </c>
      <c r="Q49" s="272">
        <v>27.5</v>
      </c>
      <c r="R49" s="272">
        <v>1.37</v>
      </c>
    </row>
    <row r="50" spans="1:20" ht="12.75" customHeight="1">
      <c r="A50" s="2">
        <v>32</v>
      </c>
      <c r="B50" s="105" t="s">
        <v>331</v>
      </c>
      <c r="C50" s="272">
        <v>350</v>
      </c>
      <c r="D50" s="272">
        <v>1</v>
      </c>
      <c r="E50" s="272">
        <v>17.5</v>
      </c>
      <c r="F50" s="272">
        <v>360</v>
      </c>
      <c r="G50" s="287">
        <v>1.1499999999999999</v>
      </c>
      <c r="H50" s="272">
        <v>18</v>
      </c>
      <c r="I50" s="272">
        <v>410</v>
      </c>
      <c r="J50" s="287">
        <v>1.3</v>
      </c>
      <c r="K50" s="272">
        <v>20.5</v>
      </c>
      <c r="L50" s="272">
        <v>500</v>
      </c>
      <c r="M50" s="287">
        <v>1.5</v>
      </c>
      <c r="N50" s="272">
        <v>25</v>
      </c>
      <c r="O50" s="272">
        <v>480</v>
      </c>
      <c r="P50" s="287">
        <v>1.65</v>
      </c>
      <c r="Q50" s="272">
        <v>24</v>
      </c>
      <c r="R50" s="272">
        <v>1.23</v>
      </c>
    </row>
    <row r="51" spans="1:20" ht="12.75" customHeight="1">
      <c r="A51" s="2">
        <v>33</v>
      </c>
      <c r="B51" s="105" t="s">
        <v>332</v>
      </c>
      <c r="C51" s="272">
        <v>420</v>
      </c>
      <c r="D51" s="272">
        <v>1</v>
      </c>
      <c r="E51" s="272">
        <v>15</v>
      </c>
      <c r="F51" s="272">
        <v>392</v>
      </c>
      <c r="G51" s="287">
        <v>1.1499999999999999</v>
      </c>
      <c r="H51" s="272">
        <v>14</v>
      </c>
      <c r="I51" s="272">
        <v>448</v>
      </c>
      <c r="J51" s="287">
        <v>1.3</v>
      </c>
      <c r="K51" s="272">
        <v>16</v>
      </c>
      <c r="L51" s="272">
        <v>560</v>
      </c>
      <c r="M51" s="287">
        <v>1.5</v>
      </c>
      <c r="N51" s="272">
        <v>20</v>
      </c>
      <c r="O51" s="272">
        <v>518</v>
      </c>
      <c r="P51" s="287">
        <v>1.65</v>
      </c>
      <c r="Q51" s="272">
        <v>18.5</v>
      </c>
      <c r="R51" s="272">
        <v>1.26</v>
      </c>
    </row>
    <row r="52" spans="1:20" ht="12.75" customHeight="1">
      <c r="A52" s="2">
        <v>31</v>
      </c>
      <c r="B52" s="105" t="s">
        <v>333</v>
      </c>
      <c r="C52" s="272">
        <v>420</v>
      </c>
      <c r="D52" s="272">
        <v>1</v>
      </c>
      <c r="E52" s="272">
        <v>15</v>
      </c>
      <c r="F52" s="272">
        <v>420</v>
      </c>
      <c r="G52" s="287">
        <v>1.1499999999999999</v>
      </c>
      <c r="H52" s="272">
        <v>15</v>
      </c>
      <c r="I52" s="272">
        <v>476</v>
      </c>
      <c r="J52" s="287">
        <v>1.3</v>
      </c>
      <c r="K52" s="272">
        <v>17</v>
      </c>
      <c r="L52" s="272">
        <v>630</v>
      </c>
      <c r="M52" s="287">
        <v>1.5</v>
      </c>
      <c r="N52" s="272">
        <v>22.5</v>
      </c>
      <c r="O52" s="272">
        <v>560</v>
      </c>
      <c r="P52" s="287">
        <v>1.65</v>
      </c>
      <c r="Q52" s="272">
        <v>20</v>
      </c>
      <c r="R52" s="272">
        <v>1.43</v>
      </c>
    </row>
    <row r="53" spans="1:20" ht="12.75" customHeight="1">
      <c r="A53" s="2">
        <v>25</v>
      </c>
      <c r="B53" s="105" t="s">
        <v>334</v>
      </c>
      <c r="C53" s="272">
        <v>490</v>
      </c>
      <c r="D53" s="272">
        <v>1</v>
      </c>
      <c r="E53" s="272">
        <v>17.5</v>
      </c>
      <c r="F53" s="272">
        <v>462</v>
      </c>
      <c r="G53" s="287">
        <v>1.1499999999999999</v>
      </c>
      <c r="H53" s="272">
        <v>16.5</v>
      </c>
      <c r="I53" s="272">
        <v>518</v>
      </c>
      <c r="J53" s="287">
        <v>1.3</v>
      </c>
      <c r="K53" s="272">
        <v>18.5</v>
      </c>
      <c r="L53" s="272">
        <v>630</v>
      </c>
      <c r="M53" s="287">
        <v>1.5</v>
      </c>
      <c r="N53" s="272">
        <v>22.5</v>
      </c>
      <c r="O53" s="272">
        <v>616</v>
      </c>
      <c r="P53" s="287">
        <v>1.65</v>
      </c>
      <c r="Q53" s="272">
        <v>22</v>
      </c>
      <c r="R53" s="272">
        <v>1.45</v>
      </c>
    </row>
    <row r="54" spans="1:20" ht="12.75" customHeight="1">
      <c r="A54" s="2">
        <v>34</v>
      </c>
      <c r="B54" s="105" t="s">
        <v>335</v>
      </c>
      <c r="C54" s="272">
        <v>490</v>
      </c>
      <c r="D54" s="272">
        <v>1</v>
      </c>
      <c r="E54" s="272">
        <v>17.5</v>
      </c>
      <c r="F54" s="272">
        <v>490</v>
      </c>
      <c r="G54" s="287">
        <v>1.1499999999999999</v>
      </c>
      <c r="H54" s="272">
        <v>17.5</v>
      </c>
      <c r="I54" s="272">
        <v>546</v>
      </c>
      <c r="J54" s="287">
        <v>1.3</v>
      </c>
      <c r="K54" s="272">
        <v>19.5</v>
      </c>
      <c r="L54" s="272">
        <v>630</v>
      </c>
      <c r="M54" s="287">
        <v>1.5</v>
      </c>
      <c r="N54" s="272">
        <v>22.5</v>
      </c>
      <c r="O54" s="272">
        <v>644</v>
      </c>
      <c r="P54" s="287">
        <v>1.65</v>
      </c>
      <c r="Q54" s="272">
        <v>23</v>
      </c>
      <c r="R54" s="272">
        <v>1.56</v>
      </c>
    </row>
    <row r="55" spans="1:20" ht="12.75" customHeight="1">
      <c r="A55" s="2">
        <v>36</v>
      </c>
      <c r="B55" s="105" t="s">
        <v>336</v>
      </c>
      <c r="C55" s="272">
        <v>420</v>
      </c>
      <c r="D55" s="272">
        <v>1</v>
      </c>
      <c r="E55" s="272">
        <v>15</v>
      </c>
      <c r="F55" s="272">
        <v>434</v>
      </c>
      <c r="G55" s="287">
        <v>1.1499999999999999</v>
      </c>
      <c r="H55" s="272">
        <v>15.5</v>
      </c>
      <c r="I55" s="272">
        <v>490</v>
      </c>
      <c r="J55" s="287">
        <v>1.3</v>
      </c>
      <c r="K55" s="272">
        <v>17.5</v>
      </c>
      <c r="L55" s="272">
        <v>630</v>
      </c>
      <c r="M55" s="287">
        <v>1.5</v>
      </c>
      <c r="N55" s="272">
        <v>22.5</v>
      </c>
      <c r="O55" s="272">
        <v>560</v>
      </c>
      <c r="P55" s="287">
        <v>1.65</v>
      </c>
      <c r="Q55" s="272">
        <v>20</v>
      </c>
      <c r="R55" s="272">
        <v>1.41</v>
      </c>
    </row>
    <row r="56" spans="1:20" ht="12.75" customHeight="1">
      <c r="A56" s="2">
        <v>37</v>
      </c>
      <c r="B56" s="105" t="s">
        <v>337</v>
      </c>
      <c r="C56" s="272">
        <v>475</v>
      </c>
      <c r="D56" s="272">
        <v>1</v>
      </c>
      <c r="E56" s="272">
        <v>12.5</v>
      </c>
      <c r="F56" s="272">
        <v>494</v>
      </c>
      <c r="G56" s="287">
        <v>1.1499999999999999</v>
      </c>
      <c r="H56" s="272">
        <v>13</v>
      </c>
      <c r="I56" s="272">
        <v>551</v>
      </c>
      <c r="J56" s="287">
        <v>1.3</v>
      </c>
      <c r="K56" s="272">
        <v>14.5</v>
      </c>
      <c r="L56" s="272">
        <v>665</v>
      </c>
      <c r="M56" s="287">
        <v>1.5</v>
      </c>
      <c r="N56" s="272">
        <v>17.5</v>
      </c>
      <c r="O56" s="272">
        <v>646</v>
      </c>
      <c r="P56" s="287">
        <v>1.65</v>
      </c>
      <c r="Q56" s="272">
        <v>17</v>
      </c>
      <c r="R56" s="272">
        <v>1.45</v>
      </c>
    </row>
    <row r="57" spans="1:20" ht="12.75" customHeight="1">
      <c r="A57" s="2">
        <v>35</v>
      </c>
      <c r="B57" s="105" t="s">
        <v>338</v>
      </c>
      <c r="C57" s="272">
        <v>475</v>
      </c>
      <c r="D57" s="272">
        <v>1</v>
      </c>
      <c r="E57" s="272">
        <v>12.5</v>
      </c>
      <c r="F57" s="272">
        <v>513</v>
      </c>
      <c r="G57" s="287">
        <v>1.1499999999999999</v>
      </c>
      <c r="H57" s="272">
        <v>13.5</v>
      </c>
      <c r="I57" s="272">
        <v>570</v>
      </c>
      <c r="J57" s="287">
        <v>1.3</v>
      </c>
      <c r="K57" s="272">
        <v>15</v>
      </c>
      <c r="L57" s="272">
        <v>760</v>
      </c>
      <c r="M57" s="287">
        <v>1.5</v>
      </c>
      <c r="N57" s="272">
        <v>20</v>
      </c>
      <c r="O57" s="272">
        <v>684</v>
      </c>
      <c r="P57" s="287">
        <v>1.65</v>
      </c>
      <c r="Q57" s="272">
        <v>18</v>
      </c>
      <c r="R57" s="272">
        <v>1.48</v>
      </c>
    </row>
    <row r="58" spans="1:20" ht="12.75" customHeight="1">
      <c r="A58" s="2">
        <v>26</v>
      </c>
      <c r="B58" s="105" t="s">
        <v>339</v>
      </c>
      <c r="C58" s="272">
        <v>570</v>
      </c>
      <c r="D58" s="272">
        <v>1</v>
      </c>
      <c r="E58" s="272">
        <v>15</v>
      </c>
      <c r="F58" s="272">
        <v>570</v>
      </c>
      <c r="G58" s="287">
        <v>1.1499999999999999</v>
      </c>
      <c r="H58" s="272">
        <v>15</v>
      </c>
      <c r="I58" s="272">
        <v>627</v>
      </c>
      <c r="J58" s="287">
        <v>1.3</v>
      </c>
      <c r="K58" s="272">
        <v>16.5</v>
      </c>
      <c r="L58" s="272">
        <v>760</v>
      </c>
      <c r="M58" s="287">
        <v>1.5</v>
      </c>
      <c r="N58" s="272">
        <v>20</v>
      </c>
      <c r="O58" s="272">
        <v>741</v>
      </c>
      <c r="P58" s="287">
        <v>1.65</v>
      </c>
      <c r="Q58" s="272">
        <v>19.5</v>
      </c>
      <c r="R58" s="272">
        <v>1.69</v>
      </c>
    </row>
    <row r="59" spans="1:20" ht="12.75" customHeight="1">
      <c r="A59" s="2">
        <v>38</v>
      </c>
      <c r="B59" s="105" t="s">
        <v>340</v>
      </c>
      <c r="C59" s="272">
        <v>570</v>
      </c>
      <c r="D59" s="272">
        <v>1</v>
      </c>
      <c r="E59" s="272">
        <v>15</v>
      </c>
      <c r="F59" s="272">
        <v>589</v>
      </c>
      <c r="G59" s="287">
        <v>1.1499999999999999</v>
      </c>
      <c r="H59" s="272">
        <v>15.5</v>
      </c>
      <c r="I59" s="272">
        <v>665</v>
      </c>
      <c r="J59" s="287">
        <v>1.3</v>
      </c>
      <c r="K59" s="272">
        <v>17.5</v>
      </c>
      <c r="L59" s="272">
        <v>760</v>
      </c>
      <c r="M59" s="287">
        <v>1.5</v>
      </c>
      <c r="N59" s="272">
        <v>20</v>
      </c>
      <c r="O59" s="272">
        <v>779</v>
      </c>
      <c r="P59" s="287">
        <v>1.65</v>
      </c>
      <c r="Q59" s="272">
        <v>20.5</v>
      </c>
      <c r="R59" s="272">
        <v>1.81</v>
      </c>
    </row>
    <row r="60" spans="1:20" ht="12.75" customHeight="1">
      <c r="A60" s="2">
        <v>40</v>
      </c>
      <c r="B60" s="105" t="s">
        <v>341</v>
      </c>
      <c r="C60" s="272">
        <v>475</v>
      </c>
      <c r="D60" s="272">
        <v>1</v>
      </c>
      <c r="E60" s="272">
        <v>12.5</v>
      </c>
      <c r="F60" s="272">
        <v>532</v>
      </c>
      <c r="G60" s="287">
        <v>1.1499999999999999</v>
      </c>
      <c r="H60" s="272">
        <v>14</v>
      </c>
      <c r="I60" s="272">
        <v>589</v>
      </c>
      <c r="J60" s="287">
        <v>1.3</v>
      </c>
      <c r="K60" s="272">
        <v>15.5</v>
      </c>
      <c r="L60" s="272">
        <v>760</v>
      </c>
      <c r="M60" s="287">
        <v>1.5</v>
      </c>
      <c r="N60" s="272">
        <v>20</v>
      </c>
      <c r="O60" s="272">
        <v>684</v>
      </c>
      <c r="P60" s="287">
        <v>1.65</v>
      </c>
      <c r="Q60" s="272">
        <v>18</v>
      </c>
      <c r="R60" s="272">
        <v>1.5</v>
      </c>
    </row>
    <row r="61" spans="1:20" ht="12.75" customHeight="1">
      <c r="A61" s="2">
        <v>41</v>
      </c>
      <c r="B61" s="288" t="s">
        <v>342</v>
      </c>
      <c r="C61" s="289">
        <v>120.3</v>
      </c>
      <c r="D61" s="287">
        <v>0.7</v>
      </c>
      <c r="E61" s="272">
        <v>171.9</v>
      </c>
      <c r="F61" s="289">
        <v>137.5</v>
      </c>
      <c r="G61" s="287">
        <v>0.8</v>
      </c>
      <c r="H61" s="272">
        <v>196.4</v>
      </c>
      <c r="I61" s="289">
        <v>154.69999999999999</v>
      </c>
      <c r="J61" s="287">
        <v>0.9</v>
      </c>
      <c r="K61" s="272">
        <v>221</v>
      </c>
      <c r="L61" s="289">
        <v>107.4</v>
      </c>
      <c r="M61" s="287">
        <v>1</v>
      </c>
      <c r="N61" s="272">
        <v>245.5</v>
      </c>
      <c r="O61" s="289">
        <v>189.1</v>
      </c>
      <c r="P61" s="287">
        <v>1.1000000000000001</v>
      </c>
      <c r="Q61" s="272">
        <v>270.10000000000002</v>
      </c>
      <c r="R61" s="272">
        <v>0.32400000000000001</v>
      </c>
      <c r="T61">
        <f t="shared" ref="T61:T62" si="0">ROUND(L61*0.625,1)</f>
        <v>67.099999999999994</v>
      </c>
    </row>
    <row r="62" spans="1:20" ht="12.75" customHeight="1">
      <c r="A62" s="2">
        <v>39</v>
      </c>
      <c r="B62" s="288" t="s">
        <v>343</v>
      </c>
      <c r="C62" s="289">
        <v>174.1</v>
      </c>
      <c r="D62" s="287">
        <v>0.7</v>
      </c>
      <c r="E62" s="272">
        <v>248.7</v>
      </c>
      <c r="F62" s="289">
        <v>124.4</v>
      </c>
      <c r="G62" s="287">
        <v>0.8</v>
      </c>
      <c r="H62" s="272">
        <v>284.3</v>
      </c>
      <c r="I62" s="289">
        <v>223.9</v>
      </c>
      <c r="J62" s="287">
        <v>0.9</v>
      </c>
      <c r="K62" s="272">
        <v>319.8</v>
      </c>
      <c r="L62" s="289">
        <v>155.4</v>
      </c>
      <c r="M62" s="287">
        <v>1</v>
      </c>
      <c r="N62" s="272">
        <v>355.3</v>
      </c>
      <c r="O62" s="289">
        <v>273.60000000000002</v>
      </c>
      <c r="P62" s="287">
        <v>1.1000000000000001</v>
      </c>
      <c r="Q62" s="272">
        <v>390.9</v>
      </c>
      <c r="R62" s="272">
        <v>0.51800000000000002</v>
      </c>
      <c r="T62">
        <f t="shared" si="0"/>
        <v>97.1</v>
      </c>
    </row>
    <row r="63" spans="1:20" ht="12.75" customHeight="1">
      <c r="A63" s="2"/>
      <c r="C63" s="2"/>
      <c r="D63" s="2"/>
      <c r="E63" s="2"/>
      <c r="L63" s="2"/>
      <c r="M63" s="2"/>
      <c r="N63" s="2"/>
      <c r="R63" s="2"/>
    </row>
    <row r="64" spans="1:20" ht="12.75" customHeight="1">
      <c r="C64" s="2"/>
      <c r="D64" s="2"/>
      <c r="E64" s="2"/>
      <c r="L64" s="2"/>
      <c r="M64" s="2"/>
      <c r="N64" s="2"/>
      <c r="R64" s="2"/>
    </row>
    <row r="65" spans="1:27" ht="37.5" customHeight="1">
      <c r="B65" s="493" t="s">
        <v>344</v>
      </c>
      <c r="C65" s="453"/>
      <c r="D65" s="453"/>
      <c r="E65" s="453"/>
      <c r="F65" s="453"/>
      <c r="G65" s="453"/>
      <c r="H65" s="453"/>
      <c r="I65" s="453"/>
      <c r="J65" s="453"/>
      <c r="K65" s="453"/>
      <c r="L65" s="453"/>
      <c r="M65" s="453"/>
      <c r="N65" s="453"/>
      <c r="O65" s="453"/>
      <c r="P65" s="453"/>
      <c r="Q65" s="453"/>
      <c r="R65" s="453"/>
      <c r="S65" s="453"/>
      <c r="T65" s="453"/>
      <c r="U65" s="453"/>
      <c r="V65" s="453"/>
      <c r="W65" s="453"/>
      <c r="X65" s="453"/>
      <c r="Y65" s="453"/>
      <c r="Z65" s="463"/>
    </row>
    <row r="66" spans="1:27" ht="12.75" customHeight="1">
      <c r="C66" s="2"/>
      <c r="D66" s="2"/>
      <c r="E66" s="2"/>
      <c r="L66" s="2"/>
      <c r="M66" s="2"/>
      <c r="N66" s="2"/>
      <c r="R66" s="2"/>
    </row>
    <row r="67" spans="1:27" ht="12.75" customHeight="1">
      <c r="C67" s="487" t="s">
        <v>345</v>
      </c>
      <c r="D67" s="488"/>
      <c r="E67" s="489"/>
      <c r="F67" s="487" t="s">
        <v>346</v>
      </c>
      <c r="G67" s="488"/>
      <c r="H67" s="489"/>
      <c r="I67" s="487" t="s">
        <v>347</v>
      </c>
      <c r="J67" s="488"/>
      <c r="K67" s="489"/>
      <c r="L67" s="487" t="s">
        <v>348</v>
      </c>
      <c r="M67" s="488"/>
      <c r="N67" s="489"/>
      <c r="O67" s="487" t="s">
        <v>349</v>
      </c>
      <c r="P67" s="488"/>
      <c r="Q67" s="489"/>
      <c r="R67" s="487" t="s">
        <v>281</v>
      </c>
      <c r="S67" s="488"/>
      <c r="T67" s="489"/>
      <c r="U67" s="487" t="s">
        <v>282</v>
      </c>
      <c r="V67" s="488"/>
      <c r="W67" s="489"/>
      <c r="X67" s="487" t="s">
        <v>283</v>
      </c>
      <c r="Y67" s="488"/>
      <c r="Z67" s="488"/>
      <c r="AA67" s="105" t="s">
        <v>350</v>
      </c>
    </row>
    <row r="68" spans="1:27" ht="12.75" customHeight="1">
      <c r="B68" s="105"/>
      <c r="C68" s="272" t="s">
        <v>287</v>
      </c>
      <c r="D68" s="272" t="s">
        <v>288</v>
      </c>
      <c r="E68" s="272" t="s">
        <v>289</v>
      </c>
      <c r="F68" s="272" t="s">
        <v>287</v>
      </c>
      <c r="G68" s="272" t="s">
        <v>288</v>
      </c>
      <c r="H68" s="272" t="s">
        <v>289</v>
      </c>
      <c r="I68" s="272" t="s">
        <v>287</v>
      </c>
      <c r="J68" s="272" t="s">
        <v>288</v>
      </c>
      <c r="K68" s="272" t="s">
        <v>289</v>
      </c>
      <c r="L68" s="272" t="s">
        <v>287</v>
      </c>
      <c r="M68" s="272" t="s">
        <v>288</v>
      </c>
      <c r="N68" s="272" t="s">
        <v>289</v>
      </c>
      <c r="O68" s="272" t="s">
        <v>287</v>
      </c>
      <c r="P68" s="272" t="s">
        <v>288</v>
      </c>
      <c r="Q68" s="272" t="s">
        <v>289</v>
      </c>
      <c r="R68" s="272" t="s">
        <v>287</v>
      </c>
      <c r="S68" s="272" t="s">
        <v>288</v>
      </c>
      <c r="T68" s="272" t="s">
        <v>289</v>
      </c>
      <c r="U68" s="272" t="s">
        <v>287</v>
      </c>
      <c r="V68" s="272" t="s">
        <v>288</v>
      </c>
      <c r="W68" s="272" t="s">
        <v>289</v>
      </c>
      <c r="X68" s="272" t="s">
        <v>287</v>
      </c>
      <c r="Y68" s="272" t="s">
        <v>288</v>
      </c>
      <c r="Z68" s="282" t="s">
        <v>289</v>
      </c>
      <c r="AA68" s="105" t="s">
        <v>76</v>
      </c>
    </row>
    <row r="69" spans="1:27" ht="12.75" customHeight="1">
      <c r="A69" s="2"/>
      <c r="B69" s="111" t="s">
        <v>290</v>
      </c>
      <c r="C69" s="272"/>
      <c r="D69" s="272"/>
      <c r="E69" s="272"/>
      <c r="F69" s="272"/>
      <c r="G69" s="272"/>
      <c r="H69" s="272"/>
      <c r="I69" s="272"/>
      <c r="J69" s="272"/>
      <c r="K69" s="272"/>
      <c r="L69" s="272"/>
      <c r="M69" s="287"/>
      <c r="N69" s="272"/>
      <c r="O69" s="272"/>
      <c r="P69" s="287"/>
      <c r="Q69" s="272"/>
      <c r="R69" s="283">
        <v>107.8</v>
      </c>
      <c r="S69" s="284">
        <v>1</v>
      </c>
      <c r="T69" s="113">
        <v>8.1999999999999993</v>
      </c>
      <c r="U69" s="285">
        <v>140.80000000000001</v>
      </c>
      <c r="V69" s="284">
        <v>1</v>
      </c>
      <c r="W69" s="113">
        <v>10.8</v>
      </c>
      <c r="X69" s="283">
        <v>178.2</v>
      </c>
      <c r="Y69" s="284">
        <v>1</v>
      </c>
      <c r="Z69" s="286">
        <v>13.6</v>
      </c>
      <c r="AA69" s="272">
        <v>0.6</v>
      </c>
    </row>
    <row r="70" spans="1:27" ht="12.75" customHeight="1">
      <c r="A70" s="2">
        <v>1</v>
      </c>
      <c r="B70" s="111" t="s">
        <v>291</v>
      </c>
      <c r="C70" s="272">
        <v>8</v>
      </c>
      <c r="D70" s="272">
        <v>0.5</v>
      </c>
      <c r="E70" s="272">
        <v>13.1</v>
      </c>
      <c r="F70" s="272">
        <v>18.100000000000001</v>
      </c>
      <c r="G70" s="272">
        <v>0.5</v>
      </c>
      <c r="H70" s="272">
        <v>29.6</v>
      </c>
      <c r="I70" s="272">
        <v>32</v>
      </c>
      <c r="J70" s="272">
        <v>0.5</v>
      </c>
      <c r="K70" s="272">
        <v>52.6</v>
      </c>
      <c r="L70" s="272">
        <v>36.299999999999997</v>
      </c>
      <c r="M70" s="287">
        <v>0.8</v>
      </c>
      <c r="N70" s="272">
        <v>51.3</v>
      </c>
      <c r="O70" s="272">
        <v>40.1</v>
      </c>
      <c r="P70" s="287">
        <v>0.9</v>
      </c>
      <c r="Q70" s="272">
        <v>65.7</v>
      </c>
      <c r="R70" s="272">
        <v>49.1</v>
      </c>
      <c r="S70" s="287">
        <v>1</v>
      </c>
      <c r="T70" s="272">
        <v>80.5</v>
      </c>
      <c r="U70" s="272">
        <v>53.4</v>
      </c>
      <c r="V70" s="272">
        <v>1.2</v>
      </c>
      <c r="W70" s="272">
        <v>87.7</v>
      </c>
      <c r="X70" s="272">
        <v>60.1</v>
      </c>
      <c r="Y70" s="272">
        <v>1.35</v>
      </c>
      <c r="Z70" s="272">
        <v>88.8</v>
      </c>
      <c r="AA70" s="272">
        <v>0.13</v>
      </c>
    </row>
    <row r="71" spans="1:27" ht="12.75" customHeight="1">
      <c r="A71" s="2">
        <v>1</v>
      </c>
      <c r="B71" s="111" t="s">
        <v>597</v>
      </c>
      <c r="C71" s="272">
        <v>8</v>
      </c>
      <c r="D71" s="272">
        <v>0.5</v>
      </c>
      <c r="E71" s="272">
        <v>13.1</v>
      </c>
      <c r="F71" s="272">
        <v>18.100000000000001</v>
      </c>
      <c r="G71" s="272">
        <v>0.5</v>
      </c>
      <c r="H71" s="272">
        <v>29.6</v>
      </c>
      <c r="I71" s="272">
        <v>32</v>
      </c>
      <c r="J71" s="272">
        <v>0.5</v>
      </c>
      <c r="K71" s="272">
        <v>52.6</v>
      </c>
      <c r="L71" s="272">
        <v>36.299999999999997</v>
      </c>
      <c r="M71" s="287">
        <v>0.8</v>
      </c>
      <c r="N71" s="272">
        <v>51.3</v>
      </c>
      <c r="O71" s="272">
        <v>40.1</v>
      </c>
      <c r="P71" s="287">
        <v>0.9</v>
      </c>
      <c r="Q71" s="272">
        <v>65.7</v>
      </c>
      <c r="R71" s="272">
        <v>49.1</v>
      </c>
      <c r="S71" s="287">
        <v>1</v>
      </c>
      <c r="T71" s="272">
        <v>80.5</v>
      </c>
      <c r="U71" s="272">
        <v>53.4</v>
      </c>
      <c r="V71" s="272">
        <v>1.2</v>
      </c>
      <c r="W71" s="272">
        <v>87.7</v>
      </c>
      <c r="X71" s="272">
        <v>60.1</v>
      </c>
      <c r="Y71" s="272">
        <v>1.35</v>
      </c>
      <c r="Z71" s="272">
        <v>88.8</v>
      </c>
      <c r="AA71" s="272">
        <v>0.13</v>
      </c>
    </row>
    <row r="72" spans="1:27" ht="12.75" customHeight="1">
      <c r="A72" s="2">
        <v>1</v>
      </c>
      <c r="B72" s="111" t="s">
        <v>598</v>
      </c>
      <c r="C72" s="272">
        <v>8</v>
      </c>
      <c r="D72" s="272">
        <v>0.5</v>
      </c>
      <c r="E72" s="272">
        <v>13.1</v>
      </c>
      <c r="F72" s="272">
        <v>18.100000000000001</v>
      </c>
      <c r="G72" s="272">
        <v>0.5</v>
      </c>
      <c r="H72" s="272">
        <v>29.6</v>
      </c>
      <c r="I72" s="272">
        <v>32</v>
      </c>
      <c r="J72" s="272">
        <v>0.5</v>
      </c>
      <c r="K72" s="272">
        <v>52.6</v>
      </c>
      <c r="L72" s="272">
        <v>36.299999999999997</v>
      </c>
      <c r="M72" s="287">
        <v>0.8</v>
      </c>
      <c r="N72" s="272">
        <v>51.3</v>
      </c>
      <c r="O72" s="272">
        <v>40.1</v>
      </c>
      <c r="P72" s="287">
        <v>0.9</v>
      </c>
      <c r="Q72" s="272">
        <v>65.7</v>
      </c>
      <c r="R72" s="272">
        <v>49.1</v>
      </c>
      <c r="S72" s="287">
        <v>1</v>
      </c>
      <c r="T72" s="272">
        <v>80.5</v>
      </c>
      <c r="U72" s="272">
        <v>53.4</v>
      </c>
      <c r="V72" s="272">
        <v>1.2</v>
      </c>
      <c r="W72" s="272">
        <v>87.7</v>
      </c>
      <c r="X72" s="272">
        <v>60.1</v>
      </c>
      <c r="Y72" s="272">
        <v>1.35</v>
      </c>
      <c r="Z72" s="272">
        <v>88.8</v>
      </c>
      <c r="AA72" s="272">
        <v>0.13</v>
      </c>
    </row>
    <row r="73" spans="1:27" ht="12.75" customHeight="1">
      <c r="A73" s="2">
        <v>1</v>
      </c>
      <c r="B73" s="111" t="s">
        <v>599</v>
      </c>
      <c r="C73" s="272">
        <v>8</v>
      </c>
      <c r="D73" s="272">
        <v>0.5</v>
      </c>
      <c r="E73" s="272">
        <v>13.1</v>
      </c>
      <c r="F73" s="272">
        <v>18.100000000000001</v>
      </c>
      <c r="G73" s="272">
        <v>0.5</v>
      </c>
      <c r="H73" s="272">
        <v>29.6</v>
      </c>
      <c r="I73" s="272">
        <v>32</v>
      </c>
      <c r="J73" s="272">
        <v>0.5</v>
      </c>
      <c r="K73" s="272">
        <v>52.6</v>
      </c>
      <c r="L73" s="272">
        <v>36.299999999999997</v>
      </c>
      <c r="M73" s="287">
        <v>0.8</v>
      </c>
      <c r="N73" s="272">
        <v>51.3</v>
      </c>
      <c r="O73" s="272">
        <v>40.1</v>
      </c>
      <c r="P73" s="287">
        <v>0.9</v>
      </c>
      <c r="Q73" s="272">
        <v>65.7</v>
      </c>
      <c r="R73" s="272">
        <v>49.1</v>
      </c>
      <c r="S73" s="287">
        <v>1</v>
      </c>
      <c r="T73" s="272">
        <v>80.5</v>
      </c>
      <c r="U73" s="272">
        <v>53.4</v>
      </c>
      <c r="V73" s="272">
        <v>1.2</v>
      </c>
      <c r="W73" s="272">
        <v>87.7</v>
      </c>
      <c r="X73" s="272">
        <v>60.1</v>
      </c>
      <c r="Y73" s="272">
        <v>1.35</v>
      </c>
      <c r="Z73" s="272">
        <v>88.8</v>
      </c>
      <c r="AA73" s="272">
        <v>0.13</v>
      </c>
    </row>
    <row r="74" spans="1:27" ht="12.75" customHeight="1">
      <c r="A74" s="2">
        <v>1</v>
      </c>
      <c r="B74" s="111" t="s">
        <v>600</v>
      </c>
      <c r="C74" s="272">
        <v>8</v>
      </c>
      <c r="D74" s="272">
        <v>0.5</v>
      </c>
      <c r="E74" s="272">
        <v>13.1</v>
      </c>
      <c r="F74" s="272">
        <v>18.100000000000001</v>
      </c>
      <c r="G74" s="272">
        <v>0.5</v>
      </c>
      <c r="H74" s="272">
        <v>29.6</v>
      </c>
      <c r="I74" s="272">
        <v>32</v>
      </c>
      <c r="J74" s="272">
        <v>0.5</v>
      </c>
      <c r="K74" s="272">
        <v>52.6</v>
      </c>
      <c r="L74" s="272">
        <v>36.299999999999997</v>
      </c>
      <c r="M74" s="287">
        <v>0.8</v>
      </c>
      <c r="N74" s="272">
        <v>51.3</v>
      </c>
      <c r="O74" s="272">
        <v>40.1</v>
      </c>
      <c r="P74" s="287">
        <v>0.9</v>
      </c>
      <c r="Q74" s="272">
        <v>65.7</v>
      </c>
      <c r="R74" s="272">
        <v>49.1</v>
      </c>
      <c r="S74" s="287">
        <v>1</v>
      </c>
      <c r="T74" s="272">
        <v>80.5</v>
      </c>
      <c r="U74" s="272">
        <v>53.4</v>
      </c>
      <c r="V74" s="272">
        <v>1.2</v>
      </c>
      <c r="W74" s="272">
        <v>87.7</v>
      </c>
      <c r="X74" s="272">
        <v>60.1</v>
      </c>
      <c r="Y74" s="272">
        <v>1.35</v>
      </c>
      <c r="Z74" s="272">
        <v>88.8</v>
      </c>
      <c r="AA74" s="272">
        <v>0.13</v>
      </c>
    </row>
    <row r="75" spans="1:27" ht="12.75" customHeight="1">
      <c r="A75" s="2"/>
      <c r="B75" s="111" t="s">
        <v>292</v>
      </c>
      <c r="C75" s="272">
        <v>16.100000000000001</v>
      </c>
      <c r="D75" s="272">
        <v>0.5</v>
      </c>
      <c r="E75" s="272">
        <v>2</v>
      </c>
      <c r="F75" s="272"/>
      <c r="G75" s="272"/>
      <c r="H75" s="272"/>
      <c r="I75" s="272">
        <v>69.400000000000006</v>
      </c>
      <c r="J75" s="272">
        <v>0.4</v>
      </c>
      <c r="K75" s="272">
        <v>10</v>
      </c>
      <c r="L75" s="283">
        <v>85.1</v>
      </c>
      <c r="M75" s="284">
        <v>1</v>
      </c>
      <c r="N75" s="113">
        <v>12.3</v>
      </c>
      <c r="O75" s="283">
        <v>85.1</v>
      </c>
      <c r="P75" s="284">
        <v>1</v>
      </c>
      <c r="Q75" s="113">
        <v>12.3</v>
      </c>
      <c r="R75" s="283">
        <v>85.1</v>
      </c>
      <c r="S75" s="284">
        <v>1</v>
      </c>
      <c r="T75" s="113">
        <v>12.3</v>
      </c>
      <c r="U75" s="283">
        <v>111.1</v>
      </c>
      <c r="V75" s="284">
        <v>1</v>
      </c>
      <c r="W75" s="113">
        <v>16.100000000000001</v>
      </c>
      <c r="X75" s="283">
        <v>140.6</v>
      </c>
      <c r="Y75" s="284">
        <v>1</v>
      </c>
      <c r="Z75" s="113">
        <v>20.3</v>
      </c>
      <c r="AA75" s="272">
        <v>0.436</v>
      </c>
    </row>
    <row r="76" spans="1:27" ht="12.75" customHeight="1">
      <c r="A76" s="2"/>
      <c r="B76" s="111" t="s">
        <v>294</v>
      </c>
      <c r="C76" s="272">
        <v>16.100000000000001</v>
      </c>
      <c r="D76" s="272">
        <v>0.5</v>
      </c>
      <c r="E76" s="272">
        <v>2</v>
      </c>
      <c r="F76" s="272"/>
      <c r="G76" s="272"/>
      <c r="H76" s="272"/>
      <c r="I76" s="272">
        <v>69.400000000000006</v>
      </c>
      <c r="J76" s="272">
        <v>0.4</v>
      </c>
      <c r="K76" s="272">
        <v>10</v>
      </c>
      <c r="L76" s="283">
        <v>85.1</v>
      </c>
      <c r="M76" s="284">
        <v>1</v>
      </c>
      <c r="N76" s="113">
        <v>12.3</v>
      </c>
      <c r="O76" s="283">
        <v>85.1</v>
      </c>
      <c r="P76" s="284">
        <v>1</v>
      </c>
      <c r="Q76" s="113">
        <v>12.3</v>
      </c>
      <c r="R76" s="283">
        <v>85.1</v>
      </c>
      <c r="S76" s="284">
        <v>1</v>
      </c>
      <c r="T76" s="113">
        <v>12.3</v>
      </c>
      <c r="U76" s="283">
        <v>111.1</v>
      </c>
      <c r="V76" s="284">
        <v>1</v>
      </c>
      <c r="W76" s="113">
        <v>16.100000000000001</v>
      </c>
      <c r="X76" s="283">
        <v>140.6</v>
      </c>
      <c r="Y76" s="284">
        <v>1</v>
      </c>
      <c r="Z76" s="113">
        <v>20.3</v>
      </c>
      <c r="AA76" s="272">
        <v>0.436</v>
      </c>
    </row>
    <row r="77" spans="1:27" ht="12.75" customHeight="1">
      <c r="A77" s="2"/>
      <c r="B77" s="111" t="s">
        <v>293</v>
      </c>
      <c r="C77" s="272">
        <v>7</v>
      </c>
      <c r="D77" s="272">
        <v>1</v>
      </c>
      <c r="E77" s="272">
        <v>1.6</v>
      </c>
      <c r="F77" s="272">
        <v>15.8</v>
      </c>
      <c r="G77" s="272">
        <v>1</v>
      </c>
      <c r="H77" s="289">
        <v>3.6</v>
      </c>
      <c r="I77" s="289">
        <v>28</v>
      </c>
      <c r="J77" s="289">
        <v>1</v>
      </c>
      <c r="K77" s="289">
        <v>6.5</v>
      </c>
      <c r="L77" s="272">
        <v>43.8</v>
      </c>
      <c r="M77" s="272">
        <v>1</v>
      </c>
      <c r="N77" s="272">
        <v>10.1</v>
      </c>
      <c r="O77" s="105">
        <v>63.1</v>
      </c>
      <c r="P77" s="105">
        <v>1</v>
      </c>
      <c r="Q77" s="105">
        <v>14.5</v>
      </c>
      <c r="R77" s="283">
        <v>85.6</v>
      </c>
      <c r="S77" s="284">
        <v>1</v>
      </c>
      <c r="T77" s="113">
        <v>19.7</v>
      </c>
      <c r="U77" s="283">
        <v>106.3</v>
      </c>
      <c r="V77" s="284">
        <v>1</v>
      </c>
      <c r="W77" s="113">
        <v>24.4</v>
      </c>
      <c r="X77" s="283">
        <v>141.9</v>
      </c>
      <c r="Y77" s="284">
        <v>1</v>
      </c>
      <c r="Z77" s="113">
        <v>32.6</v>
      </c>
      <c r="AA77" s="283">
        <v>175.2</v>
      </c>
    </row>
    <row r="78" spans="1:27" ht="12.75" customHeight="1">
      <c r="A78" s="2"/>
      <c r="B78" s="443" t="str">
        <f>B12</f>
        <v>ALY 5x25</v>
      </c>
      <c r="C78" s="105">
        <f>C12</f>
        <v>418.8</v>
      </c>
      <c r="D78" s="105">
        <f>D12</f>
        <v>0.99</v>
      </c>
      <c r="E78" s="105">
        <f>E12</f>
        <v>30</v>
      </c>
      <c r="F78" s="105">
        <f>C78</f>
        <v>418.8</v>
      </c>
      <c r="G78" s="105">
        <f t="shared" ref="G78:H78" si="1">D78</f>
        <v>0.99</v>
      </c>
      <c r="H78" s="105">
        <f t="shared" si="1"/>
        <v>30</v>
      </c>
      <c r="I78" s="105">
        <f>F78</f>
        <v>418.8</v>
      </c>
      <c r="J78" s="105">
        <f t="shared" ref="J78" si="2">G78</f>
        <v>0.99</v>
      </c>
      <c r="K78" s="105">
        <f t="shared" ref="K78" si="3">H78</f>
        <v>30</v>
      </c>
      <c r="L78" s="105">
        <f>I78</f>
        <v>418.8</v>
      </c>
      <c r="M78" s="105">
        <f t="shared" ref="M78" si="4">J78</f>
        <v>0.99</v>
      </c>
      <c r="N78" s="105">
        <f t="shared" ref="N78" si="5">K78</f>
        <v>30</v>
      </c>
      <c r="O78" s="105">
        <f>L78</f>
        <v>418.8</v>
      </c>
      <c r="P78" s="105">
        <f t="shared" ref="P78" si="6">M78</f>
        <v>0.99</v>
      </c>
      <c r="Q78" s="105">
        <f t="shared" ref="Q78" si="7">N78</f>
        <v>30</v>
      </c>
      <c r="R78" s="105">
        <f>O78</f>
        <v>418.8</v>
      </c>
      <c r="S78" s="105">
        <f t="shared" ref="S78" si="8">P78</f>
        <v>0.99</v>
      </c>
      <c r="T78" s="105">
        <f t="shared" ref="T78" si="9">Q78</f>
        <v>30</v>
      </c>
      <c r="U78" s="105">
        <f t="shared" ref="U78:Z78" si="10">F12</f>
        <v>558.4</v>
      </c>
      <c r="V78" s="105">
        <f t="shared" si="10"/>
        <v>0.96</v>
      </c>
      <c r="W78" s="105">
        <f t="shared" si="10"/>
        <v>40</v>
      </c>
      <c r="X78" s="105">
        <f t="shared" si="10"/>
        <v>698</v>
      </c>
      <c r="Y78" s="105">
        <f t="shared" si="10"/>
        <v>0.95</v>
      </c>
      <c r="Z78" s="105">
        <f t="shared" si="10"/>
        <v>50</v>
      </c>
      <c r="AA78" s="105">
        <f t="shared" ref="AA78:AA109" si="11">R12</f>
        <v>1.304</v>
      </c>
    </row>
    <row r="79" spans="1:27" ht="12.75" customHeight="1">
      <c r="A79" s="2"/>
      <c r="B79" s="443" t="str">
        <f t="shared" ref="B79:E80" si="12">B13</f>
        <v>AL. 1x25</v>
      </c>
      <c r="C79" s="105">
        <f t="shared" si="12"/>
        <v>87.2</v>
      </c>
      <c r="D79" s="105">
        <f t="shared" si="12"/>
        <v>1</v>
      </c>
      <c r="E79" s="105">
        <f t="shared" si="12"/>
        <v>35</v>
      </c>
      <c r="F79" s="105">
        <f>C79</f>
        <v>87.2</v>
      </c>
      <c r="G79" s="105">
        <f t="shared" ref="G79:G81" si="13">D79</f>
        <v>1</v>
      </c>
      <c r="H79" s="105">
        <f t="shared" ref="H79:H81" si="14">E79</f>
        <v>35</v>
      </c>
      <c r="I79" s="105">
        <f>F79</f>
        <v>87.2</v>
      </c>
      <c r="J79" s="105">
        <f t="shared" ref="J79:J81" si="15">G79</f>
        <v>1</v>
      </c>
      <c r="K79" s="105">
        <f t="shared" ref="K79:K81" si="16">H79</f>
        <v>35</v>
      </c>
      <c r="L79" s="105">
        <f>I79</f>
        <v>87.2</v>
      </c>
      <c r="M79" s="105">
        <f t="shared" ref="M79:M81" si="17">J79</f>
        <v>1</v>
      </c>
      <c r="N79" s="105">
        <f>K79</f>
        <v>35</v>
      </c>
      <c r="O79" s="105">
        <f>L79</f>
        <v>87.2</v>
      </c>
      <c r="P79" s="105">
        <f t="shared" ref="P79:P81" si="18">M79</f>
        <v>1</v>
      </c>
      <c r="Q79" s="105">
        <f t="shared" ref="Q79:Q81" si="19">N79</f>
        <v>35</v>
      </c>
      <c r="R79" s="105">
        <f>O79</f>
        <v>87.2</v>
      </c>
      <c r="S79" s="105">
        <f t="shared" ref="S79:S81" si="20">P79</f>
        <v>1</v>
      </c>
      <c r="T79" s="105">
        <f t="shared" ref="T79:T81" si="21">Q79</f>
        <v>35</v>
      </c>
      <c r="U79" s="105">
        <f t="shared" ref="U79:U126" si="22">F13</f>
        <v>112.2</v>
      </c>
      <c r="V79" s="105">
        <f t="shared" ref="V79" si="23">G13</f>
        <v>1</v>
      </c>
      <c r="W79" s="105">
        <f t="shared" ref="W79" si="24">H13</f>
        <v>45</v>
      </c>
      <c r="X79" s="105">
        <f t="shared" ref="X79:X126" si="25">I13</f>
        <v>137.1</v>
      </c>
      <c r="Y79" s="105">
        <f t="shared" ref="Y79" si="26">J13</f>
        <v>1</v>
      </c>
      <c r="Z79" s="105">
        <f t="shared" ref="Z79" si="27">K13</f>
        <v>55</v>
      </c>
      <c r="AA79" s="105">
        <f t="shared" si="11"/>
        <v>0.27600000000000002</v>
      </c>
    </row>
    <row r="80" spans="1:27" ht="12.75" customHeight="1">
      <c r="A80" s="2"/>
      <c r="B80" s="443" t="str">
        <f t="shared" si="12"/>
        <v>AsXSn 1x25</v>
      </c>
      <c r="C80" s="105">
        <f t="shared" si="12"/>
        <v>87.2</v>
      </c>
      <c r="D80" s="105">
        <f t="shared" si="12"/>
        <v>1</v>
      </c>
      <c r="E80" s="105">
        <f t="shared" si="12"/>
        <v>35</v>
      </c>
      <c r="F80" s="105">
        <f>C80</f>
        <v>87.2</v>
      </c>
      <c r="G80" s="105">
        <f t="shared" ref="G80" si="28">D80</f>
        <v>1</v>
      </c>
      <c r="H80" s="105">
        <f t="shared" ref="H80" si="29">E80</f>
        <v>35</v>
      </c>
      <c r="I80" s="105">
        <f>F80</f>
        <v>87.2</v>
      </c>
      <c r="J80" s="105">
        <f t="shared" ref="J80" si="30">G80</f>
        <v>1</v>
      </c>
      <c r="K80" s="105">
        <f t="shared" ref="K80" si="31">H80</f>
        <v>35</v>
      </c>
      <c r="L80" s="105">
        <f>I80</f>
        <v>87.2</v>
      </c>
      <c r="M80" s="105">
        <f t="shared" ref="M80" si="32">J80</f>
        <v>1</v>
      </c>
      <c r="N80" s="105">
        <f>K80</f>
        <v>35</v>
      </c>
      <c r="O80" s="105">
        <f>L80</f>
        <v>87.2</v>
      </c>
      <c r="P80" s="105">
        <f t="shared" ref="P80" si="33">M80</f>
        <v>1</v>
      </c>
      <c r="Q80" s="105">
        <f t="shared" ref="Q80" si="34">N80</f>
        <v>35</v>
      </c>
      <c r="R80" s="105">
        <f>O80</f>
        <v>87.2</v>
      </c>
      <c r="S80" s="105">
        <f t="shared" ref="S80" si="35">P80</f>
        <v>1</v>
      </c>
      <c r="T80" s="105">
        <f t="shared" ref="T80" si="36">Q80</f>
        <v>35</v>
      </c>
      <c r="U80" s="105">
        <f t="shared" si="22"/>
        <v>112.2</v>
      </c>
      <c r="V80" s="105">
        <f t="shared" ref="V80" si="37">G14</f>
        <v>1</v>
      </c>
      <c r="W80" s="105">
        <f t="shared" ref="W80" si="38">H14</f>
        <v>45</v>
      </c>
      <c r="X80" s="105">
        <f t="shared" si="25"/>
        <v>137.1</v>
      </c>
      <c r="Y80" s="105">
        <f t="shared" ref="Y80" si="39">J14</f>
        <v>1</v>
      </c>
      <c r="Z80" s="105">
        <f t="shared" ref="Z80" si="40">K14</f>
        <v>55</v>
      </c>
      <c r="AA80" s="105">
        <f t="shared" si="11"/>
        <v>0.27600000000000002</v>
      </c>
    </row>
    <row r="81" spans="1:27" ht="12.75" customHeight="1">
      <c r="A81" s="2"/>
      <c r="B81" s="443" t="str">
        <f t="shared" ref="B81:E100" si="41">B15</f>
        <v>AL. 1x35</v>
      </c>
      <c r="C81" s="105">
        <f t="shared" si="41"/>
        <v>104.7</v>
      </c>
      <c r="D81" s="105">
        <f t="shared" si="41"/>
        <v>0.99</v>
      </c>
      <c r="E81" s="105">
        <f t="shared" si="41"/>
        <v>30</v>
      </c>
      <c r="F81" s="105">
        <f t="shared" ref="F81:F126" si="42">C81</f>
        <v>104.7</v>
      </c>
      <c r="G81" s="105">
        <f t="shared" si="13"/>
        <v>0.99</v>
      </c>
      <c r="H81" s="105">
        <f t="shared" si="14"/>
        <v>30</v>
      </c>
      <c r="I81" s="105">
        <f t="shared" ref="I81:I126" si="43">F81</f>
        <v>104.7</v>
      </c>
      <c r="J81" s="105">
        <f t="shared" si="15"/>
        <v>0.99</v>
      </c>
      <c r="K81" s="105">
        <f t="shared" si="16"/>
        <v>30</v>
      </c>
      <c r="L81" s="105">
        <f t="shared" ref="L81:L126" si="44">I81</f>
        <v>104.7</v>
      </c>
      <c r="M81" s="105">
        <f t="shared" si="17"/>
        <v>0.99</v>
      </c>
      <c r="N81" s="105">
        <f t="shared" ref="N81:N126" si="45">K81</f>
        <v>30</v>
      </c>
      <c r="O81" s="105">
        <f t="shared" ref="O81:O126" si="46">L81</f>
        <v>104.7</v>
      </c>
      <c r="P81" s="105">
        <f t="shared" si="18"/>
        <v>0.99</v>
      </c>
      <c r="Q81" s="105">
        <f t="shared" si="19"/>
        <v>30</v>
      </c>
      <c r="R81" s="105">
        <f t="shared" ref="R81:R126" si="47">O81</f>
        <v>104.7</v>
      </c>
      <c r="S81" s="105">
        <f t="shared" si="20"/>
        <v>0.99</v>
      </c>
      <c r="T81" s="105">
        <f t="shared" si="21"/>
        <v>30</v>
      </c>
      <c r="U81" s="105">
        <f t="shared" si="22"/>
        <v>139.6</v>
      </c>
      <c r="V81" s="105">
        <f t="shared" ref="V81:V126" si="48">G15</f>
        <v>0.96</v>
      </c>
      <c r="W81" s="105">
        <f t="shared" ref="W81:W126" si="49">H15</f>
        <v>40</v>
      </c>
      <c r="X81" s="105">
        <f t="shared" si="25"/>
        <v>174.5</v>
      </c>
      <c r="Y81" s="105">
        <f t="shared" ref="Y81:Y126" si="50">J15</f>
        <v>0.95</v>
      </c>
      <c r="Z81" s="105">
        <f t="shared" ref="Z81:Z126" si="51">K15</f>
        <v>50</v>
      </c>
      <c r="AA81" s="105">
        <f t="shared" si="11"/>
        <v>0.32600000000000001</v>
      </c>
    </row>
    <row r="82" spans="1:27" ht="12.75" customHeight="1">
      <c r="A82" s="2"/>
      <c r="B82" s="443" t="str">
        <f t="shared" si="41"/>
        <v>AL. 1x50</v>
      </c>
      <c r="C82" s="105">
        <f t="shared" si="41"/>
        <v>123.7</v>
      </c>
      <c r="D82" s="105">
        <f t="shared" si="41"/>
        <v>0.98</v>
      </c>
      <c r="E82" s="105">
        <f t="shared" si="41"/>
        <v>25</v>
      </c>
      <c r="F82" s="105">
        <f t="shared" si="42"/>
        <v>123.7</v>
      </c>
      <c r="G82" s="105">
        <f t="shared" ref="G82:G126" si="52">D82</f>
        <v>0.98</v>
      </c>
      <c r="H82" s="105">
        <f t="shared" ref="H82:H126" si="53">E82</f>
        <v>25</v>
      </c>
      <c r="I82" s="105">
        <f t="shared" si="43"/>
        <v>123.7</v>
      </c>
      <c r="J82" s="105">
        <f t="shared" ref="J82:J126" si="54">G82</f>
        <v>0.98</v>
      </c>
      <c r="K82" s="105">
        <f t="shared" ref="K82:K126" si="55">H82</f>
        <v>25</v>
      </c>
      <c r="L82" s="105">
        <f t="shared" si="44"/>
        <v>123.7</v>
      </c>
      <c r="M82" s="105">
        <f t="shared" ref="M82:M126" si="56">J82</f>
        <v>0.98</v>
      </c>
      <c r="N82" s="105">
        <f t="shared" si="45"/>
        <v>25</v>
      </c>
      <c r="O82" s="105">
        <f t="shared" si="46"/>
        <v>123.7</v>
      </c>
      <c r="P82" s="105">
        <f t="shared" ref="P82:P126" si="57">M82</f>
        <v>0.98</v>
      </c>
      <c r="Q82" s="105">
        <f t="shared" ref="Q82:Q126" si="58">N82</f>
        <v>25</v>
      </c>
      <c r="R82" s="105">
        <f t="shared" si="47"/>
        <v>123.7</v>
      </c>
      <c r="S82" s="105">
        <f t="shared" ref="S82:S126" si="59">P82</f>
        <v>0.98</v>
      </c>
      <c r="T82" s="105">
        <f t="shared" ref="T82:T126" si="60">Q82</f>
        <v>25</v>
      </c>
      <c r="U82" s="105">
        <f t="shared" si="22"/>
        <v>173.2</v>
      </c>
      <c r="V82" s="105">
        <f t="shared" si="48"/>
        <v>0.93</v>
      </c>
      <c r="W82" s="105">
        <f t="shared" si="49"/>
        <v>35</v>
      </c>
      <c r="X82" s="105">
        <f t="shared" si="25"/>
        <v>197.9</v>
      </c>
      <c r="Y82" s="105">
        <f t="shared" si="50"/>
        <v>1</v>
      </c>
      <c r="Z82" s="105">
        <f t="shared" si="51"/>
        <v>40</v>
      </c>
      <c r="AA82" s="105">
        <f t="shared" si="11"/>
        <v>0.38900000000000001</v>
      </c>
    </row>
    <row r="83" spans="1:27" ht="12.75" customHeight="1">
      <c r="A83" s="2"/>
      <c r="B83" s="443" t="str">
        <f t="shared" si="41"/>
        <v>AL. 1x70</v>
      </c>
      <c r="C83" s="105">
        <f t="shared" si="41"/>
        <v>140.5</v>
      </c>
      <c r="D83" s="105">
        <f t="shared" si="41"/>
        <v>1</v>
      </c>
      <c r="E83" s="105">
        <f t="shared" si="41"/>
        <v>20</v>
      </c>
      <c r="F83" s="105">
        <f t="shared" si="42"/>
        <v>140.5</v>
      </c>
      <c r="G83" s="105">
        <f t="shared" si="52"/>
        <v>1</v>
      </c>
      <c r="H83" s="105">
        <f t="shared" si="53"/>
        <v>20</v>
      </c>
      <c r="I83" s="105">
        <f t="shared" si="43"/>
        <v>140.5</v>
      </c>
      <c r="J83" s="105">
        <f t="shared" si="54"/>
        <v>1</v>
      </c>
      <c r="K83" s="105">
        <f t="shared" si="55"/>
        <v>20</v>
      </c>
      <c r="L83" s="105">
        <f t="shared" si="44"/>
        <v>140.5</v>
      </c>
      <c r="M83" s="105">
        <f t="shared" si="56"/>
        <v>1</v>
      </c>
      <c r="N83" s="105">
        <f t="shared" si="45"/>
        <v>20</v>
      </c>
      <c r="O83" s="105">
        <f t="shared" si="46"/>
        <v>140.5</v>
      </c>
      <c r="P83" s="105">
        <f t="shared" si="57"/>
        <v>1</v>
      </c>
      <c r="Q83" s="105">
        <f t="shared" si="58"/>
        <v>20</v>
      </c>
      <c r="R83" s="105">
        <f t="shared" si="47"/>
        <v>140.5</v>
      </c>
      <c r="S83" s="105">
        <f t="shared" si="59"/>
        <v>1</v>
      </c>
      <c r="T83" s="105">
        <f t="shared" si="60"/>
        <v>20</v>
      </c>
      <c r="U83" s="105">
        <f t="shared" si="22"/>
        <v>210.8</v>
      </c>
      <c r="V83" s="105">
        <f t="shared" si="48"/>
        <v>0.94</v>
      </c>
      <c r="W83" s="105">
        <f t="shared" si="49"/>
        <v>30</v>
      </c>
      <c r="X83" s="105">
        <f t="shared" si="25"/>
        <v>245.9</v>
      </c>
      <c r="Y83" s="105">
        <f t="shared" si="50"/>
        <v>1</v>
      </c>
      <c r="Z83" s="105">
        <f t="shared" si="51"/>
        <v>35</v>
      </c>
      <c r="AA83" s="105">
        <f t="shared" si="11"/>
        <v>0.46600000000000003</v>
      </c>
    </row>
    <row r="84" spans="1:27" ht="12.75" customHeight="1">
      <c r="A84" s="2"/>
      <c r="B84" s="443" t="str">
        <f t="shared" si="41"/>
        <v>AL. 1x95</v>
      </c>
      <c r="C84" s="105">
        <f t="shared" si="41"/>
        <v>142.1</v>
      </c>
      <c r="D84" s="105">
        <f t="shared" si="41"/>
        <v>1.1299999999999999</v>
      </c>
      <c r="E84" s="105">
        <f t="shared" si="41"/>
        <v>15</v>
      </c>
      <c r="F84" s="105">
        <f t="shared" si="42"/>
        <v>142.1</v>
      </c>
      <c r="G84" s="105">
        <f t="shared" si="52"/>
        <v>1.1299999999999999</v>
      </c>
      <c r="H84" s="105">
        <f t="shared" si="53"/>
        <v>15</v>
      </c>
      <c r="I84" s="105">
        <f t="shared" si="43"/>
        <v>142.1</v>
      </c>
      <c r="J84" s="105">
        <f t="shared" si="54"/>
        <v>1.1299999999999999</v>
      </c>
      <c r="K84" s="105">
        <f t="shared" si="55"/>
        <v>15</v>
      </c>
      <c r="L84" s="105">
        <f t="shared" si="44"/>
        <v>142.1</v>
      </c>
      <c r="M84" s="105">
        <f t="shared" si="56"/>
        <v>1.1299999999999999</v>
      </c>
      <c r="N84" s="105">
        <f t="shared" si="45"/>
        <v>15</v>
      </c>
      <c r="O84" s="105">
        <f t="shared" si="46"/>
        <v>142.1</v>
      </c>
      <c r="P84" s="105">
        <f t="shared" si="57"/>
        <v>1.1299999999999999</v>
      </c>
      <c r="Q84" s="105">
        <f t="shared" si="58"/>
        <v>15</v>
      </c>
      <c r="R84" s="105">
        <f t="shared" si="47"/>
        <v>142.1</v>
      </c>
      <c r="S84" s="105">
        <f t="shared" si="59"/>
        <v>1.1299999999999999</v>
      </c>
      <c r="T84" s="105">
        <f t="shared" si="60"/>
        <v>15</v>
      </c>
      <c r="U84" s="105">
        <f t="shared" si="22"/>
        <v>236.9</v>
      </c>
      <c r="V84" s="105">
        <f t="shared" si="48"/>
        <v>0.98</v>
      </c>
      <c r="W84" s="105">
        <f t="shared" si="49"/>
        <v>25</v>
      </c>
      <c r="X84" s="105">
        <f t="shared" si="25"/>
        <v>331.6</v>
      </c>
      <c r="Y84" s="105">
        <f t="shared" si="50"/>
        <v>0.92</v>
      </c>
      <c r="Z84" s="105">
        <f t="shared" si="51"/>
        <v>35</v>
      </c>
      <c r="AA84" s="105">
        <f t="shared" si="11"/>
        <v>0.54400000000000004</v>
      </c>
    </row>
    <row r="85" spans="1:27" ht="12.75" customHeight="1">
      <c r="A85" s="2"/>
      <c r="B85" s="443" t="str">
        <f t="shared" si="41"/>
        <v>AL. 2x25</v>
      </c>
      <c r="C85" s="105">
        <f t="shared" si="41"/>
        <v>174.4</v>
      </c>
      <c r="D85" s="105">
        <f t="shared" si="41"/>
        <v>1</v>
      </c>
      <c r="E85" s="105">
        <f t="shared" si="41"/>
        <v>35</v>
      </c>
      <c r="F85" s="105">
        <f t="shared" si="42"/>
        <v>174.4</v>
      </c>
      <c r="G85" s="105">
        <f t="shared" si="52"/>
        <v>1</v>
      </c>
      <c r="H85" s="105">
        <f t="shared" si="53"/>
        <v>35</v>
      </c>
      <c r="I85" s="105">
        <f t="shared" si="43"/>
        <v>174.4</v>
      </c>
      <c r="J85" s="105">
        <f t="shared" si="54"/>
        <v>1</v>
      </c>
      <c r="K85" s="105">
        <f t="shared" si="55"/>
        <v>35</v>
      </c>
      <c r="L85" s="105">
        <f t="shared" si="44"/>
        <v>174.4</v>
      </c>
      <c r="M85" s="105">
        <f t="shared" si="56"/>
        <v>1</v>
      </c>
      <c r="N85" s="105">
        <f t="shared" si="45"/>
        <v>35</v>
      </c>
      <c r="O85" s="105">
        <f t="shared" si="46"/>
        <v>174.4</v>
      </c>
      <c r="P85" s="105">
        <f t="shared" si="57"/>
        <v>1</v>
      </c>
      <c r="Q85" s="105">
        <f t="shared" si="58"/>
        <v>35</v>
      </c>
      <c r="R85" s="105">
        <f t="shared" si="47"/>
        <v>174.4</v>
      </c>
      <c r="S85" s="105">
        <f t="shared" si="59"/>
        <v>1</v>
      </c>
      <c r="T85" s="105">
        <f t="shared" si="60"/>
        <v>35</v>
      </c>
      <c r="U85" s="105">
        <f t="shared" si="22"/>
        <v>224.4</v>
      </c>
      <c r="V85" s="105">
        <f t="shared" si="48"/>
        <v>1</v>
      </c>
      <c r="W85" s="105">
        <f t="shared" si="49"/>
        <v>45</v>
      </c>
      <c r="X85" s="105">
        <f t="shared" si="25"/>
        <v>274.2</v>
      </c>
      <c r="Y85" s="105">
        <f t="shared" si="50"/>
        <v>1</v>
      </c>
      <c r="Z85" s="105">
        <f t="shared" si="51"/>
        <v>55</v>
      </c>
      <c r="AA85" s="105">
        <f t="shared" si="11"/>
        <v>0.53500000000000003</v>
      </c>
    </row>
    <row r="86" spans="1:27" ht="12.75" customHeight="1">
      <c r="A86" s="2"/>
      <c r="B86" s="443" t="str">
        <f t="shared" si="41"/>
        <v>AL. 2x35</v>
      </c>
      <c r="C86" s="105">
        <f t="shared" si="41"/>
        <v>209.4</v>
      </c>
      <c r="D86" s="105">
        <f t="shared" si="41"/>
        <v>0.99</v>
      </c>
      <c r="E86" s="105">
        <f t="shared" si="41"/>
        <v>30</v>
      </c>
      <c r="F86" s="105">
        <f t="shared" si="42"/>
        <v>209.4</v>
      </c>
      <c r="G86" s="105">
        <f t="shared" si="52"/>
        <v>0.99</v>
      </c>
      <c r="H86" s="105">
        <f t="shared" si="53"/>
        <v>30</v>
      </c>
      <c r="I86" s="105">
        <f t="shared" si="43"/>
        <v>209.4</v>
      </c>
      <c r="J86" s="105">
        <f t="shared" si="54"/>
        <v>0.99</v>
      </c>
      <c r="K86" s="105">
        <f t="shared" si="55"/>
        <v>30</v>
      </c>
      <c r="L86" s="105">
        <f t="shared" si="44"/>
        <v>209.4</v>
      </c>
      <c r="M86" s="105">
        <f t="shared" si="56"/>
        <v>0.99</v>
      </c>
      <c r="N86" s="105">
        <f t="shared" si="45"/>
        <v>30</v>
      </c>
      <c r="O86" s="105">
        <f t="shared" si="46"/>
        <v>209.4</v>
      </c>
      <c r="P86" s="105">
        <f t="shared" si="57"/>
        <v>0.99</v>
      </c>
      <c r="Q86" s="105">
        <f t="shared" si="58"/>
        <v>30</v>
      </c>
      <c r="R86" s="105">
        <f t="shared" si="47"/>
        <v>209.4</v>
      </c>
      <c r="S86" s="105">
        <f t="shared" si="59"/>
        <v>0.99</v>
      </c>
      <c r="T86" s="105">
        <f t="shared" si="60"/>
        <v>30</v>
      </c>
      <c r="U86" s="105">
        <f t="shared" si="22"/>
        <v>279.2</v>
      </c>
      <c r="V86" s="105">
        <f t="shared" si="48"/>
        <v>0.96</v>
      </c>
      <c r="W86" s="105">
        <f t="shared" si="49"/>
        <v>40</v>
      </c>
      <c r="X86" s="105">
        <f t="shared" si="25"/>
        <v>349</v>
      </c>
      <c r="Y86" s="105">
        <f t="shared" si="50"/>
        <v>0.95</v>
      </c>
      <c r="Z86" s="105">
        <f t="shared" si="51"/>
        <v>50</v>
      </c>
      <c r="AA86" s="105">
        <f t="shared" si="11"/>
        <v>0.60299999999999998</v>
      </c>
    </row>
    <row r="87" spans="1:27" ht="12.75" customHeight="1">
      <c r="A87" s="2"/>
      <c r="B87" s="443" t="str">
        <f t="shared" si="41"/>
        <v>AL. 3x50+35</v>
      </c>
      <c r="C87" s="105">
        <f t="shared" si="41"/>
        <v>395.4</v>
      </c>
      <c r="D87" s="105">
        <f t="shared" si="41"/>
        <v>1</v>
      </c>
      <c r="E87" s="105">
        <f t="shared" si="41"/>
        <v>30</v>
      </c>
      <c r="F87" s="105">
        <f t="shared" si="42"/>
        <v>395.4</v>
      </c>
      <c r="G87" s="105">
        <f t="shared" si="52"/>
        <v>1</v>
      </c>
      <c r="H87" s="105">
        <f t="shared" si="53"/>
        <v>30</v>
      </c>
      <c r="I87" s="105">
        <f t="shared" si="43"/>
        <v>395.4</v>
      </c>
      <c r="J87" s="105">
        <f t="shared" si="54"/>
        <v>1</v>
      </c>
      <c r="K87" s="105">
        <f t="shared" si="55"/>
        <v>30</v>
      </c>
      <c r="L87" s="105">
        <f t="shared" si="44"/>
        <v>395.4</v>
      </c>
      <c r="M87" s="105">
        <f t="shared" si="56"/>
        <v>1</v>
      </c>
      <c r="N87" s="105">
        <f t="shared" si="45"/>
        <v>30</v>
      </c>
      <c r="O87" s="105">
        <f t="shared" si="46"/>
        <v>395.4</v>
      </c>
      <c r="P87" s="105">
        <f t="shared" si="57"/>
        <v>1</v>
      </c>
      <c r="Q87" s="105">
        <f t="shared" si="58"/>
        <v>30</v>
      </c>
      <c r="R87" s="105">
        <f t="shared" si="47"/>
        <v>395.4</v>
      </c>
      <c r="S87" s="105">
        <f t="shared" si="59"/>
        <v>1</v>
      </c>
      <c r="T87" s="105">
        <f t="shared" si="60"/>
        <v>30</v>
      </c>
      <c r="U87" s="105">
        <f t="shared" si="22"/>
        <v>516.5</v>
      </c>
      <c r="V87" s="105">
        <f t="shared" si="48"/>
        <v>1</v>
      </c>
      <c r="W87" s="105">
        <f t="shared" si="49"/>
        <v>40</v>
      </c>
      <c r="X87" s="105">
        <f t="shared" si="25"/>
        <v>653.79999999999995</v>
      </c>
      <c r="Y87" s="105">
        <f t="shared" si="50"/>
        <v>1</v>
      </c>
      <c r="Z87" s="105">
        <f t="shared" si="51"/>
        <v>50</v>
      </c>
      <c r="AA87" s="105">
        <f t="shared" si="11"/>
        <v>1.4930000000000001</v>
      </c>
    </row>
    <row r="88" spans="1:27" ht="12.75" customHeight="1">
      <c r="A88" s="2"/>
      <c r="B88" s="443" t="str">
        <f t="shared" si="41"/>
        <v>AL. 4x25</v>
      </c>
      <c r="C88" s="105">
        <f t="shared" si="41"/>
        <v>348.8</v>
      </c>
      <c r="D88" s="105">
        <f t="shared" si="41"/>
        <v>1</v>
      </c>
      <c r="E88" s="105">
        <f t="shared" si="41"/>
        <v>35</v>
      </c>
      <c r="F88" s="105">
        <f t="shared" si="42"/>
        <v>348.8</v>
      </c>
      <c r="G88" s="105">
        <f t="shared" si="52"/>
        <v>1</v>
      </c>
      <c r="H88" s="105">
        <f t="shared" si="53"/>
        <v>35</v>
      </c>
      <c r="I88" s="105">
        <f t="shared" si="43"/>
        <v>348.8</v>
      </c>
      <c r="J88" s="105">
        <f t="shared" si="54"/>
        <v>1</v>
      </c>
      <c r="K88" s="105">
        <f t="shared" si="55"/>
        <v>35</v>
      </c>
      <c r="L88" s="105">
        <f t="shared" si="44"/>
        <v>348.8</v>
      </c>
      <c r="M88" s="105">
        <f t="shared" si="56"/>
        <v>1</v>
      </c>
      <c r="N88" s="105">
        <f t="shared" si="45"/>
        <v>35</v>
      </c>
      <c r="O88" s="105">
        <f t="shared" si="46"/>
        <v>348.8</v>
      </c>
      <c r="P88" s="105">
        <f t="shared" si="57"/>
        <v>1</v>
      </c>
      <c r="Q88" s="105">
        <f t="shared" si="58"/>
        <v>35</v>
      </c>
      <c r="R88" s="105">
        <f t="shared" si="47"/>
        <v>348.8</v>
      </c>
      <c r="S88" s="105">
        <f t="shared" si="59"/>
        <v>1</v>
      </c>
      <c r="T88" s="105">
        <f t="shared" si="60"/>
        <v>35</v>
      </c>
      <c r="U88" s="105">
        <f t="shared" si="22"/>
        <v>448.8</v>
      </c>
      <c r="V88" s="105">
        <f t="shared" si="48"/>
        <v>1</v>
      </c>
      <c r="W88" s="105">
        <f t="shared" si="49"/>
        <v>45</v>
      </c>
      <c r="X88" s="105">
        <f t="shared" si="25"/>
        <v>548.4</v>
      </c>
      <c r="Y88" s="105">
        <f t="shared" si="50"/>
        <v>1</v>
      </c>
      <c r="Z88" s="105">
        <f t="shared" si="51"/>
        <v>55</v>
      </c>
      <c r="AA88" s="105">
        <f t="shared" si="11"/>
        <v>1.1040000000000001</v>
      </c>
    </row>
    <row r="89" spans="1:27" ht="12.75" customHeight="1">
      <c r="A89" s="2"/>
      <c r="B89" s="443" t="str">
        <f t="shared" si="41"/>
        <v>AL. 4x35</v>
      </c>
      <c r="C89" s="105">
        <f t="shared" si="41"/>
        <v>418.8</v>
      </c>
      <c r="D89" s="105">
        <f t="shared" si="41"/>
        <v>0.99</v>
      </c>
      <c r="E89" s="105">
        <f t="shared" si="41"/>
        <v>30</v>
      </c>
      <c r="F89" s="105">
        <f t="shared" si="42"/>
        <v>418.8</v>
      </c>
      <c r="G89" s="105">
        <f t="shared" si="52"/>
        <v>0.99</v>
      </c>
      <c r="H89" s="105">
        <f t="shared" si="53"/>
        <v>30</v>
      </c>
      <c r="I89" s="105">
        <f t="shared" si="43"/>
        <v>418.8</v>
      </c>
      <c r="J89" s="105">
        <f t="shared" si="54"/>
        <v>0.99</v>
      </c>
      <c r="K89" s="105">
        <f t="shared" si="55"/>
        <v>30</v>
      </c>
      <c r="L89" s="105">
        <f t="shared" si="44"/>
        <v>418.8</v>
      </c>
      <c r="M89" s="105">
        <f t="shared" si="56"/>
        <v>0.99</v>
      </c>
      <c r="N89" s="105">
        <f t="shared" si="45"/>
        <v>30</v>
      </c>
      <c r="O89" s="105">
        <f t="shared" si="46"/>
        <v>418.8</v>
      </c>
      <c r="P89" s="105">
        <f t="shared" si="57"/>
        <v>0.99</v>
      </c>
      <c r="Q89" s="105">
        <f t="shared" si="58"/>
        <v>30</v>
      </c>
      <c r="R89" s="105">
        <f t="shared" si="47"/>
        <v>418.8</v>
      </c>
      <c r="S89" s="105">
        <f t="shared" si="59"/>
        <v>0.99</v>
      </c>
      <c r="T89" s="105">
        <f t="shared" si="60"/>
        <v>30</v>
      </c>
      <c r="U89" s="105">
        <f t="shared" si="22"/>
        <v>558.4</v>
      </c>
      <c r="V89" s="105">
        <f t="shared" si="48"/>
        <v>0.96</v>
      </c>
      <c r="W89" s="105">
        <f t="shared" si="49"/>
        <v>40</v>
      </c>
      <c r="X89" s="105">
        <f t="shared" si="25"/>
        <v>698</v>
      </c>
      <c r="Y89" s="105">
        <f t="shared" si="50"/>
        <v>0.95</v>
      </c>
      <c r="Z89" s="105">
        <f t="shared" si="51"/>
        <v>50</v>
      </c>
      <c r="AA89" s="105">
        <f t="shared" si="11"/>
        <v>1.304</v>
      </c>
    </row>
    <row r="90" spans="1:27" ht="12.75" customHeight="1">
      <c r="A90" s="2"/>
      <c r="B90" s="443" t="str">
        <f t="shared" si="41"/>
        <v>AL. 4x35+1x25</v>
      </c>
      <c r="C90" s="105">
        <f t="shared" si="41"/>
        <v>506</v>
      </c>
      <c r="D90" s="105">
        <f t="shared" si="41"/>
        <v>1</v>
      </c>
      <c r="E90" s="105">
        <f t="shared" si="41"/>
        <v>30</v>
      </c>
      <c r="F90" s="105">
        <f t="shared" si="42"/>
        <v>506</v>
      </c>
      <c r="G90" s="105">
        <f t="shared" si="52"/>
        <v>1</v>
      </c>
      <c r="H90" s="105">
        <f t="shared" si="53"/>
        <v>30</v>
      </c>
      <c r="I90" s="105">
        <f t="shared" si="43"/>
        <v>506</v>
      </c>
      <c r="J90" s="105">
        <f t="shared" si="54"/>
        <v>1</v>
      </c>
      <c r="K90" s="105">
        <f t="shared" si="55"/>
        <v>30</v>
      </c>
      <c r="L90" s="105">
        <f t="shared" si="44"/>
        <v>506</v>
      </c>
      <c r="M90" s="105">
        <f t="shared" si="56"/>
        <v>1</v>
      </c>
      <c r="N90" s="105">
        <f t="shared" si="45"/>
        <v>30</v>
      </c>
      <c r="O90" s="105">
        <f t="shared" si="46"/>
        <v>506</v>
      </c>
      <c r="P90" s="105">
        <f t="shared" si="57"/>
        <v>1</v>
      </c>
      <c r="Q90" s="105">
        <f t="shared" si="58"/>
        <v>30</v>
      </c>
      <c r="R90" s="105">
        <f t="shared" si="47"/>
        <v>506</v>
      </c>
      <c r="S90" s="105">
        <f t="shared" si="59"/>
        <v>1</v>
      </c>
      <c r="T90" s="105">
        <f t="shared" si="60"/>
        <v>30</v>
      </c>
      <c r="U90" s="105">
        <f t="shared" si="22"/>
        <v>670.6</v>
      </c>
      <c r="V90" s="105">
        <f t="shared" si="48"/>
        <v>1</v>
      </c>
      <c r="W90" s="105">
        <f t="shared" si="49"/>
        <v>40</v>
      </c>
      <c r="X90" s="105">
        <f t="shared" si="25"/>
        <v>835.1</v>
      </c>
      <c r="Y90" s="105">
        <f t="shared" si="50"/>
        <v>1</v>
      </c>
      <c r="Z90" s="105">
        <f t="shared" si="51"/>
        <v>50</v>
      </c>
      <c r="AA90" s="105">
        <f t="shared" si="11"/>
        <v>1.3800000000000001</v>
      </c>
    </row>
    <row r="91" spans="1:27" ht="12.75" customHeight="1">
      <c r="A91" s="2"/>
      <c r="B91" s="443" t="str">
        <f t="shared" si="41"/>
        <v>AL. 4x35+1x35</v>
      </c>
      <c r="C91" s="105">
        <f t="shared" si="41"/>
        <v>523.5</v>
      </c>
      <c r="D91" s="105">
        <f t="shared" si="41"/>
        <v>0.99</v>
      </c>
      <c r="E91" s="105">
        <f t="shared" si="41"/>
        <v>30</v>
      </c>
      <c r="F91" s="105">
        <f t="shared" si="42"/>
        <v>523.5</v>
      </c>
      <c r="G91" s="105">
        <f t="shared" si="52"/>
        <v>0.99</v>
      </c>
      <c r="H91" s="105">
        <f t="shared" si="53"/>
        <v>30</v>
      </c>
      <c r="I91" s="105">
        <f t="shared" si="43"/>
        <v>523.5</v>
      </c>
      <c r="J91" s="105">
        <f t="shared" si="54"/>
        <v>0.99</v>
      </c>
      <c r="K91" s="105">
        <f t="shared" si="55"/>
        <v>30</v>
      </c>
      <c r="L91" s="105">
        <f t="shared" si="44"/>
        <v>523.5</v>
      </c>
      <c r="M91" s="105">
        <f t="shared" si="56"/>
        <v>0.99</v>
      </c>
      <c r="N91" s="105">
        <f t="shared" si="45"/>
        <v>30</v>
      </c>
      <c r="O91" s="105">
        <f t="shared" si="46"/>
        <v>523.5</v>
      </c>
      <c r="P91" s="105">
        <f t="shared" si="57"/>
        <v>0.99</v>
      </c>
      <c r="Q91" s="105">
        <f t="shared" si="58"/>
        <v>30</v>
      </c>
      <c r="R91" s="105">
        <f t="shared" si="47"/>
        <v>523.5</v>
      </c>
      <c r="S91" s="105">
        <f t="shared" si="59"/>
        <v>0.99</v>
      </c>
      <c r="T91" s="105">
        <f t="shared" si="60"/>
        <v>30</v>
      </c>
      <c r="U91" s="105">
        <f t="shared" si="22"/>
        <v>698</v>
      </c>
      <c r="V91" s="105">
        <f t="shared" si="48"/>
        <v>0.96</v>
      </c>
      <c r="W91" s="105">
        <f t="shared" si="49"/>
        <v>40</v>
      </c>
      <c r="X91" s="105">
        <f t="shared" si="25"/>
        <v>872.5</v>
      </c>
      <c r="Y91" s="105">
        <f t="shared" si="50"/>
        <v>0.95</v>
      </c>
      <c r="Z91" s="105">
        <f t="shared" si="51"/>
        <v>50</v>
      </c>
      <c r="AA91" s="105">
        <f t="shared" si="11"/>
        <v>1.6300000000000001</v>
      </c>
    </row>
    <row r="92" spans="1:27" ht="12.75" customHeight="1">
      <c r="A92" s="2"/>
      <c r="B92" s="443" t="str">
        <f t="shared" si="41"/>
        <v>AL. 4x50</v>
      </c>
      <c r="C92" s="105">
        <f t="shared" si="41"/>
        <v>494.8</v>
      </c>
      <c r="D92" s="105">
        <f t="shared" si="41"/>
        <v>0.98</v>
      </c>
      <c r="E92" s="105">
        <f t="shared" si="41"/>
        <v>25</v>
      </c>
      <c r="F92" s="105">
        <f t="shared" si="42"/>
        <v>494.8</v>
      </c>
      <c r="G92" s="105">
        <f t="shared" si="52"/>
        <v>0.98</v>
      </c>
      <c r="H92" s="105">
        <f t="shared" si="53"/>
        <v>25</v>
      </c>
      <c r="I92" s="105">
        <f t="shared" si="43"/>
        <v>494.8</v>
      </c>
      <c r="J92" s="105">
        <f t="shared" si="54"/>
        <v>0.98</v>
      </c>
      <c r="K92" s="105">
        <f t="shared" si="55"/>
        <v>25</v>
      </c>
      <c r="L92" s="105">
        <f t="shared" si="44"/>
        <v>494.8</v>
      </c>
      <c r="M92" s="105">
        <f t="shared" si="56"/>
        <v>0.98</v>
      </c>
      <c r="N92" s="105">
        <f t="shared" si="45"/>
        <v>25</v>
      </c>
      <c r="O92" s="105">
        <f t="shared" si="46"/>
        <v>494.8</v>
      </c>
      <c r="P92" s="105">
        <f t="shared" si="57"/>
        <v>0.98</v>
      </c>
      <c r="Q92" s="105">
        <f t="shared" si="58"/>
        <v>25</v>
      </c>
      <c r="R92" s="105">
        <f t="shared" si="47"/>
        <v>494.8</v>
      </c>
      <c r="S92" s="105">
        <f t="shared" si="59"/>
        <v>0.98</v>
      </c>
      <c r="T92" s="105">
        <f t="shared" si="60"/>
        <v>25</v>
      </c>
      <c r="U92" s="105">
        <f t="shared" si="22"/>
        <v>692.8</v>
      </c>
      <c r="V92" s="105">
        <f t="shared" si="48"/>
        <v>0.93</v>
      </c>
      <c r="W92" s="105">
        <f t="shared" si="49"/>
        <v>35</v>
      </c>
      <c r="X92" s="105">
        <f t="shared" si="25"/>
        <v>791.6</v>
      </c>
      <c r="Y92" s="105">
        <f t="shared" si="50"/>
        <v>1</v>
      </c>
      <c r="Z92" s="105">
        <f t="shared" si="51"/>
        <v>45</v>
      </c>
      <c r="AA92" s="105">
        <f t="shared" si="11"/>
        <v>1.556</v>
      </c>
    </row>
    <row r="93" spans="1:27" ht="12.75" customHeight="1">
      <c r="A93" s="2"/>
      <c r="B93" s="443" t="str">
        <f t="shared" si="41"/>
        <v>AL. 4x50+1x25</v>
      </c>
      <c r="C93" s="105">
        <f t="shared" si="41"/>
        <v>582</v>
      </c>
      <c r="D93" s="105">
        <f t="shared" si="41"/>
        <v>1</v>
      </c>
      <c r="E93" s="105">
        <f t="shared" si="41"/>
        <v>25</v>
      </c>
      <c r="F93" s="105">
        <f t="shared" si="42"/>
        <v>582</v>
      </c>
      <c r="G93" s="105">
        <f t="shared" si="52"/>
        <v>1</v>
      </c>
      <c r="H93" s="105">
        <f t="shared" si="53"/>
        <v>25</v>
      </c>
      <c r="I93" s="105">
        <f t="shared" si="43"/>
        <v>582</v>
      </c>
      <c r="J93" s="105">
        <f t="shared" si="54"/>
        <v>1</v>
      </c>
      <c r="K93" s="105">
        <f t="shared" si="55"/>
        <v>25</v>
      </c>
      <c r="L93" s="105">
        <f t="shared" si="44"/>
        <v>582</v>
      </c>
      <c r="M93" s="105">
        <f t="shared" si="56"/>
        <v>1</v>
      </c>
      <c r="N93" s="105">
        <f t="shared" si="45"/>
        <v>25</v>
      </c>
      <c r="O93" s="105">
        <f t="shared" si="46"/>
        <v>582</v>
      </c>
      <c r="P93" s="105">
        <f t="shared" si="57"/>
        <v>1</v>
      </c>
      <c r="Q93" s="105">
        <f t="shared" si="58"/>
        <v>25</v>
      </c>
      <c r="R93" s="105">
        <f t="shared" si="47"/>
        <v>582</v>
      </c>
      <c r="S93" s="105">
        <f t="shared" si="59"/>
        <v>1</v>
      </c>
      <c r="T93" s="105">
        <f t="shared" si="60"/>
        <v>25</v>
      </c>
      <c r="U93" s="105">
        <f t="shared" si="22"/>
        <v>805</v>
      </c>
      <c r="V93" s="105">
        <f t="shared" si="48"/>
        <v>1</v>
      </c>
      <c r="W93" s="105">
        <f t="shared" si="49"/>
        <v>35</v>
      </c>
      <c r="X93" s="105">
        <f t="shared" si="25"/>
        <v>928.7</v>
      </c>
      <c r="Y93" s="105">
        <f t="shared" si="50"/>
        <v>1</v>
      </c>
      <c r="Z93" s="105">
        <f t="shared" si="51"/>
        <v>45</v>
      </c>
      <c r="AA93" s="105">
        <f t="shared" si="11"/>
        <v>1.58</v>
      </c>
    </row>
    <row r="94" spans="1:27" ht="12.75" customHeight="1">
      <c r="A94" s="2"/>
      <c r="B94" s="443" t="str">
        <f t="shared" si="41"/>
        <v>AL. 4x50+1x35</v>
      </c>
      <c r="C94" s="105">
        <f t="shared" si="41"/>
        <v>599.5</v>
      </c>
      <c r="D94" s="105">
        <f t="shared" si="41"/>
        <v>0.99</v>
      </c>
      <c r="E94" s="105">
        <f t="shared" si="41"/>
        <v>25</v>
      </c>
      <c r="F94" s="105">
        <f t="shared" si="42"/>
        <v>599.5</v>
      </c>
      <c r="G94" s="105">
        <f t="shared" si="52"/>
        <v>0.99</v>
      </c>
      <c r="H94" s="105">
        <f t="shared" si="53"/>
        <v>25</v>
      </c>
      <c r="I94" s="105">
        <f t="shared" si="43"/>
        <v>599.5</v>
      </c>
      <c r="J94" s="105">
        <f t="shared" si="54"/>
        <v>0.99</v>
      </c>
      <c r="K94" s="105">
        <f t="shared" si="55"/>
        <v>25</v>
      </c>
      <c r="L94" s="105">
        <f t="shared" si="44"/>
        <v>599.5</v>
      </c>
      <c r="M94" s="105">
        <f t="shared" si="56"/>
        <v>0.99</v>
      </c>
      <c r="N94" s="105">
        <f t="shared" si="45"/>
        <v>25</v>
      </c>
      <c r="O94" s="105">
        <f t="shared" si="46"/>
        <v>599.5</v>
      </c>
      <c r="P94" s="105">
        <f t="shared" si="57"/>
        <v>0.99</v>
      </c>
      <c r="Q94" s="105">
        <f t="shared" si="58"/>
        <v>25</v>
      </c>
      <c r="R94" s="105">
        <f t="shared" si="47"/>
        <v>599.5</v>
      </c>
      <c r="S94" s="105">
        <f t="shared" si="59"/>
        <v>0.99</v>
      </c>
      <c r="T94" s="105">
        <f t="shared" si="60"/>
        <v>25</v>
      </c>
      <c r="U94" s="105">
        <f t="shared" si="22"/>
        <v>832.4</v>
      </c>
      <c r="V94" s="105">
        <f t="shared" si="48"/>
        <v>0.96</v>
      </c>
      <c r="W94" s="105">
        <f t="shared" si="49"/>
        <v>35</v>
      </c>
      <c r="X94" s="105">
        <f t="shared" si="25"/>
        <v>966.1</v>
      </c>
      <c r="Y94" s="105">
        <f t="shared" si="50"/>
        <v>1</v>
      </c>
      <c r="Z94" s="105">
        <f t="shared" si="51"/>
        <v>45</v>
      </c>
      <c r="AA94" s="105">
        <f t="shared" si="11"/>
        <v>1.8820000000000001</v>
      </c>
    </row>
    <row r="95" spans="1:27" ht="12.75" customHeight="1">
      <c r="A95" s="2"/>
      <c r="B95" s="443" t="str">
        <f t="shared" si="41"/>
        <v>AL. 4x70</v>
      </c>
      <c r="C95" s="105">
        <f t="shared" si="41"/>
        <v>562</v>
      </c>
      <c r="D95" s="105">
        <f t="shared" si="41"/>
        <v>1</v>
      </c>
      <c r="E95" s="105">
        <f t="shared" si="41"/>
        <v>20</v>
      </c>
      <c r="F95" s="105">
        <f t="shared" si="42"/>
        <v>562</v>
      </c>
      <c r="G95" s="105">
        <f t="shared" si="52"/>
        <v>1</v>
      </c>
      <c r="H95" s="105">
        <f t="shared" si="53"/>
        <v>20</v>
      </c>
      <c r="I95" s="105">
        <f t="shared" si="43"/>
        <v>562</v>
      </c>
      <c r="J95" s="105">
        <f t="shared" si="54"/>
        <v>1</v>
      </c>
      <c r="K95" s="105">
        <f t="shared" si="55"/>
        <v>20</v>
      </c>
      <c r="L95" s="105">
        <f t="shared" si="44"/>
        <v>562</v>
      </c>
      <c r="M95" s="105">
        <f t="shared" si="56"/>
        <v>1</v>
      </c>
      <c r="N95" s="105">
        <f t="shared" si="45"/>
        <v>20</v>
      </c>
      <c r="O95" s="105">
        <f t="shared" si="46"/>
        <v>562</v>
      </c>
      <c r="P95" s="105">
        <f t="shared" si="57"/>
        <v>1</v>
      </c>
      <c r="Q95" s="105">
        <f t="shared" si="58"/>
        <v>20</v>
      </c>
      <c r="R95" s="105">
        <f t="shared" si="47"/>
        <v>562</v>
      </c>
      <c r="S95" s="105">
        <f t="shared" si="59"/>
        <v>1</v>
      </c>
      <c r="T95" s="105">
        <f t="shared" si="60"/>
        <v>20</v>
      </c>
      <c r="U95" s="105">
        <f t="shared" si="22"/>
        <v>843.2</v>
      </c>
      <c r="V95" s="105">
        <f t="shared" si="48"/>
        <v>0.94</v>
      </c>
      <c r="W95" s="105">
        <f t="shared" si="49"/>
        <v>30</v>
      </c>
      <c r="X95" s="105">
        <f t="shared" si="25"/>
        <v>983.6</v>
      </c>
      <c r="Y95" s="105">
        <f t="shared" si="50"/>
        <v>1</v>
      </c>
      <c r="Z95" s="105">
        <f t="shared" si="51"/>
        <v>40</v>
      </c>
      <c r="AA95" s="105">
        <f t="shared" si="11"/>
        <v>1.8640000000000001</v>
      </c>
    </row>
    <row r="96" spans="1:27" ht="12.75" customHeight="1">
      <c r="A96" s="2"/>
      <c r="B96" s="443" t="str">
        <f t="shared" si="41"/>
        <v>AL. 4x70+1x25</v>
      </c>
      <c r="C96" s="105">
        <f t="shared" si="41"/>
        <v>649.20000000000005</v>
      </c>
      <c r="D96" s="105">
        <f t="shared" si="41"/>
        <v>1</v>
      </c>
      <c r="E96" s="105">
        <f t="shared" si="41"/>
        <v>20</v>
      </c>
      <c r="F96" s="105">
        <f t="shared" si="42"/>
        <v>649.20000000000005</v>
      </c>
      <c r="G96" s="105">
        <f t="shared" si="52"/>
        <v>1</v>
      </c>
      <c r="H96" s="105">
        <f t="shared" si="53"/>
        <v>20</v>
      </c>
      <c r="I96" s="105">
        <f t="shared" si="43"/>
        <v>649.20000000000005</v>
      </c>
      <c r="J96" s="105">
        <f t="shared" si="54"/>
        <v>1</v>
      </c>
      <c r="K96" s="105">
        <f t="shared" si="55"/>
        <v>20</v>
      </c>
      <c r="L96" s="105">
        <f t="shared" si="44"/>
        <v>649.20000000000005</v>
      </c>
      <c r="M96" s="105">
        <f t="shared" si="56"/>
        <v>1</v>
      </c>
      <c r="N96" s="105">
        <f t="shared" si="45"/>
        <v>20</v>
      </c>
      <c r="O96" s="105">
        <f t="shared" si="46"/>
        <v>649.20000000000005</v>
      </c>
      <c r="P96" s="105">
        <f t="shared" si="57"/>
        <v>1</v>
      </c>
      <c r="Q96" s="105">
        <f t="shared" si="58"/>
        <v>20</v>
      </c>
      <c r="R96" s="105">
        <f t="shared" si="47"/>
        <v>649.20000000000005</v>
      </c>
      <c r="S96" s="105">
        <f t="shared" si="59"/>
        <v>1</v>
      </c>
      <c r="T96" s="105">
        <f t="shared" si="60"/>
        <v>20</v>
      </c>
      <c r="U96" s="105">
        <f t="shared" si="22"/>
        <v>955.40000000000009</v>
      </c>
      <c r="V96" s="105">
        <f t="shared" si="48"/>
        <v>1</v>
      </c>
      <c r="W96" s="105">
        <f t="shared" si="49"/>
        <v>30</v>
      </c>
      <c r="X96" s="105">
        <f t="shared" si="25"/>
        <v>1120.7</v>
      </c>
      <c r="Y96" s="105">
        <f t="shared" si="50"/>
        <v>1</v>
      </c>
      <c r="Z96" s="105">
        <f t="shared" si="51"/>
        <v>40</v>
      </c>
      <c r="AA96" s="105">
        <f t="shared" si="11"/>
        <v>1.8320000000000001</v>
      </c>
    </row>
    <row r="97" spans="1:27" ht="12.75" customHeight="1">
      <c r="A97" s="2"/>
      <c r="B97" s="443" t="str">
        <f t="shared" si="41"/>
        <v>AL. 4x70+1x35</v>
      </c>
      <c r="C97" s="105">
        <f t="shared" si="41"/>
        <v>666.7</v>
      </c>
      <c r="D97" s="105">
        <f t="shared" si="41"/>
        <v>1</v>
      </c>
      <c r="E97" s="105">
        <f t="shared" si="41"/>
        <v>20</v>
      </c>
      <c r="F97" s="105">
        <f t="shared" si="42"/>
        <v>666.7</v>
      </c>
      <c r="G97" s="105">
        <f t="shared" si="52"/>
        <v>1</v>
      </c>
      <c r="H97" s="105">
        <f t="shared" si="53"/>
        <v>20</v>
      </c>
      <c r="I97" s="105">
        <f t="shared" si="43"/>
        <v>666.7</v>
      </c>
      <c r="J97" s="105">
        <f t="shared" si="54"/>
        <v>1</v>
      </c>
      <c r="K97" s="105">
        <f t="shared" si="55"/>
        <v>20</v>
      </c>
      <c r="L97" s="105">
        <f t="shared" si="44"/>
        <v>666.7</v>
      </c>
      <c r="M97" s="105">
        <f t="shared" si="56"/>
        <v>1</v>
      </c>
      <c r="N97" s="105">
        <f t="shared" si="45"/>
        <v>20</v>
      </c>
      <c r="O97" s="105">
        <f t="shared" si="46"/>
        <v>666.7</v>
      </c>
      <c r="P97" s="105">
        <f t="shared" si="57"/>
        <v>1</v>
      </c>
      <c r="Q97" s="105">
        <f t="shared" si="58"/>
        <v>20</v>
      </c>
      <c r="R97" s="105">
        <f t="shared" si="47"/>
        <v>666.7</v>
      </c>
      <c r="S97" s="105">
        <f t="shared" si="59"/>
        <v>1</v>
      </c>
      <c r="T97" s="105">
        <f t="shared" si="60"/>
        <v>20</v>
      </c>
      <c r="U97" s="105">
        <f t="shared" si="22"/>
        <v>982.80000000000007</v>
      </c>
      <c r="V97" s="105">
        <f t="shared" si="48"/>
        <v>0.96</v>
      </c>
      <c r="W97" s="105">
        <f t="shared" si="49"/>
        <v>30</v>
      </c>
      <c r="X97" s="105">
        <f t="shared" si="25"/>
        <v>1158.0999999999999</v>
      </c>
      <c r="Y97" s="105">
        <f t="shared" si="50"/>
        <v>1</v>
      </c>
      <c r="Z97" s="105">
        <f t="shared" si="51"/>
        <v>40</v>
      </c>
      <c r="AA97" s="105">
        <f t="shared" si="11"/>
        <v>2.19</v>
      </c>
    </row>
    <row r="98" spans="1:27" ht="12.75" customHeight="1">
      <c r="A98" s="2"/>
      <c r="B98" s="443" t="str">
        <f t="shared" si="41"/>
        <v>AL. 4x95</v>
      </c>
      <c r="C98" s="105">
        <f t="shared" si="41"/>
        <v>568.4</v>
      </c>
      <c r="D98" s="105">
        <f t="shared" si="41"/>
        <v>1.1299999999999999</v>
      </c>
      <c r="E98" s="105">
        <f t="shared" si="41"/>
        <v>15</v>
      </c>
      <c r="F98" s="105">
        <f t="shared" si="42"/>
        <v>568.4</v>
      </c>
      <c r="G98" s="105">
        <f t="shared" si="52"/>
        <v>1.1299999999999999</v>
      </c>
      <c r="H98" s="105">
        <f t="shared" si="53"/>
        <v>15</v>
      </c>
      <c r="I98" s="105">
        <f t="shared" si="43"/>
        <v>568.4</v>
      </c>
      <c r="J98" s="105">
        <f t="shared" si="54"/>
        <v>1.1299999999999999</v>
      </c>
      <c r="K98" s="105">
        <f t="shared" si="55"/>
        <v>15</v>
      </c>
      <c r="L98" s="105">
        <f t="shared" si="44"/>
        <v>568.4</v>
      </c>
      <c r="M98" s="105">
        <f t="shared" si="56"/>
        <v>1.1299999999999999</v>
      </c>
      <c r="N98" s="105">
        <f t="shared" si="45"/>
        <v>15</v>
      </c>
      <c r="O98" s="105">
        <f t="shared" si="46"/>
        <v>568.4</v>
      </c>
      <c r="P98" s="105">
        <f t="shared" si="57"/>
        <v>1.1299999999999999</v>
      </c>
      <c r="Q98" s="105">
        <f t="shared" si="58"/>
        <v>15</v>
      </c>
      <c r="R98" s="105">
        <f t="shared" si="47"/>
        <v>568.4</v>
      </c>
      <c r="S98" s="105">
        <f t="shared" si="59"/>
        <v>1.1299999999999999</v>
      </c>
      <c r="T98" s="105">
        <f t="shared" si="60"/>
        <v>15</v>
      </c>
      <c r="U98" s="105">
        <f t="shared" si="22"/>
        <v>947.6</v>
      </c>
      <c r="V98" s="105">
        <f t="shared" si="48"/>
        <v>0.98</v>
      </c>
      <c r="W98" s="105">
        <f t="shared" si="49"/>
        <v>25</v>
      </c>
      <c r="X98" s="105">
        <f t="shared" si="25"/>
        <v>1326.4</v>
      </c>
      <c r="Y98" s="105">
        <f t="shared" si="50"/>
        <v>0.92</v>
      </c>
      <c r="Z98" s="105">
        <f t="shared" si="51"/>
        <v>35</v>
      </c>
      <c r="AA98" s="105">
        <f t="shared" si="11"/>
        <v>2.1760000000000002</v>
      </c>
    </row>
    <row r="99" spans="1:27" ht="12.75" customHeight="1">
      <c r="A99" s="2"/>
      <c r="B99" s="443" t="str">
        <f t="shared" si="41"/>
        <v>AL. 4x95+1x25</v>
      </c>
      <c r="C99" s="105">
        <f t="shared" si="41"/>
        <v>655.6</v>
      </c>
      <c r="D99" s="105">
        <f t="shared" si="41"/>
        <v>1.1299999999999999</v>
      </c>
      <c r="E99" s="105">
        <f t="shared" si="41"/>
        <v>15</v>
      </c>
      <c r="F99" s="105">
        <f t="shared" si="42"/>
        <v>655.6</v>
      </c>
      <c r="G99" s="105">
        <f t="shared" si="52"/>
        <v>1.1299999999999999</v>
      </c>
      <c r="H99" s="105">
        <f t="shared" si="53"/>
        <v>15</v>
      </c>
      <c r="I99" s="105">
        <f t="shared" si="43"/>
        <v>655.6</v>
      </c>
      <c r="J99" s="105">
        <f t="shared" si="54"/>
        <v>1.1299999999999999</v>
      </c>
      <c r="K99" s="105">
        <f t="shared" si="55"/>
        <v>15</v>
      </c>
      <c r="L99" s="105">
        <f t="shared" si="44"/>
        <v>655.6</v>
      </c>
      <c r="M99" s="105">
        <f t="shared" si="56"/>
        <v>1.1299999999999999</v>
      </c>
      <c r="N99" s="105">
        <f t="shared" si="45"/>
        <v>15</v>
      </c>
      <c r="O99" s="105">
        <f t="shared" si="46"/>
        <v>655.6</v>
      </c>
      <c r="P99" s="105">
        <f t="shared" si="57"/>
        <v>1.1299999999999999</v>
      </c>
      <c r="Q99" s="105">
        <f t="shared" si="58"/>
        <v>15</v>
      </c>
      <c r="R99" s="105">
        <f t="shared" si="47"/>
        <v>655.6</v>
      </c>
      <c r="S99" s="105">
        <f t="shared" si="59"/>
        <v>1.1299999999999999</v>
      </c>
      <c r="T99" s="105">
        <f t="shared" si="60"/>
        <v>15</v>
      </c>
      <c r="U99" s="105">
        <f t="shared" si="22"/>
        <v>1059.8</v>
      </c>
      <c r="V99" s="105">
        <f t="shared" si="48"/>
        <v>1</v>
      </c>
      <c r="W99" s="105">
        <f t="shared" si="49"/>
        <v>25</v>
      </c>
      <c r="X99" s="105">
        <f t="shared" si="25"/>
        <v>1463.5</v>
      </c>
      <c r="Y99" s="105">
        <f t="shared" si="50"/>
        <v>1</v>
      </c>
      <c r="Z99" s="105">
        <f t="shared" si="51"/>
        <v>35</v>
      </c>
      <c r="AA99" s="105">
        <f t="shared" si="11"/>
        <v>2.14</v>
      </c>
    </row>
    <row r="100" spans="1:27" ht="12.75" customHeight="1">
      <c r="A100" s="2"/>
      <c r="B100" s="443" t="str">
        <f t="shared" si="41"/>
        <v>AL. 4x95+1x35</v>
      </c>
      <c r="C100" s="105">
        <f t="shared" si="41"/>
        <v>673.1</v>
      </c>
      <c r="D100" s="105">
        <f t="shared" si="41"/>
        <v>1.1299999999999999</v>
      </c>
      <c r="E100" s="105">
        <f t="shared" si="41"/>
        <v>15</v>
      </c>
      <c r="F100" s="105">
        <f t="shared" si="42"/>
        <v>673.1</v>
      </c>
      <c r="G100" s="105">
        <f t="shared" si="52"/>
        <v>1.1299999999999999</v>
      </c>
      <c r="H100" s="105">
        <f t="shared" si="53"/>
        <v>15</v>
      </c>
      <c r="I100" s="105">
        <f t="shared" si="43"/>
        <v>673.1</v>
      </c>
      <c r="J100" s="105">
        <f t="shared" si="54"/>
        <v>1.1299999999999999</v>
      </c>
      <c r="K100" s="105">
        <f t="shared" si="55"/>
        <v>15</v>
      </c>
      <c r="L100" s="105">
        <f t="shared" si="44"/>
        <v>673.1</v>
      </c>
      <c r="M100" s="105">
        <f t="shared" si="56"/>
        <v>1.1299999999999999</v>
      </c>
      <c r="N100" s="105">
        <f t="shared" si="45"/>
        <v>15</v>
      </c>
      <c r="O100" s="105">
        <f t="shared" si="46"/>
        <v>673.1</v>
      </c>
      <c r="P100" s="105">
        <f t="shared" si="57"/>
        <v>1.1299999999999999</v>
      </c>
      <c r="Q100" s="105">
        <f t="shared" si="58"/>
        <v>15</v>
      </c>
      <c r="R100" s="105">
        <f t="shared" si="47"/>
        <v>673.1</v>
      </c>
      <c r="S100" s="105">
        <f t="shared" si="59"/>
        <v>1.1299999999999999</v>
      </c>
      <c r="T100" s="105">
        <f t="shared" si="60"/>
        <v>15</v>
      </c>
      <c r="U100" s="105">
        <f t="shared" si="22"/>
        <v>1087.2</v>
      </c>
      <c r="V100" s="105">
        <f t="shared" si="48"/>
        <v>0.98</v>
      </c>
      <c r="W100" s="105">
        <f t="shared" si="49"/>
        <v>25</v>
      </c>
      <c r="X100" s="105">
        <f t="shared" si="25"/>
        <v>1500.9</v>
      </c>
      <c r="Y100" s="105">
        <f t="shared" si="50"/>
        <v>0.95</v>
      </c>
      <c r="Z100" s="105">
        <f t="shared" si="51"/>
        <v>35</v>
      </c>
      <c r="AA100" s="105">
        <f t="shared" si="11"/>
        <v>2.5020000000000002</v>
      </c>
    </row>
    <row r="101" spans="1:27" ht="12.75" customHeight="1">
      <c r="A101" s="2"/>
      <c r="B101" s="443" t="str">
        <f t="shared" ref="B101:E120" si="61">B35</f>
        <v>AsXSn 2x25</v>
      </c>
      <c r="C101" s="105">
        <f t="shared" si="61"/>
        <v>163</v>
      </c>
      <c r="D101" s="105">
        <f t="shared" si="61"/>
        <v>1</v>
      </c>
      <c r="E101" s="105">
        <f t="shared" si="61"/>
        <v>32.5</v>
      </c>
      <c r="F101" s="105">
        <f t="shared" si="42"/>
        <v>163</v>
      </c>
      <c r="G101" s="105">
        <f t="shared" si="52"/>
        <v>1</v>
      </c>
      <c r="H101" s="105">
        <f t="shared" si="53"/>
        <v>32.5</v>
      </c>
      <c r="I101" s="105">
        <f t="shared" si="43"/>
        <v>163</v>
      </c>
      <c r="J101" s="105">
        <f t="shared" si="54"/>
        <v>1</v>
      </c>
      <c r="K101" s="105">
        <f t="shared" si="55"/>
        <v>32.5</v>
      </c>
      <c r="L101" s="105">
        <f t="shared" si="44"/>
        <v>163</v>
      </c>
      <c r="M101" s="105">
        <f t="shared" si="56"/>
        <v>1</v>
      </c>
      <c r="N101" s="105">
        <f t="shared" si="45"/>
        <v>32.5</v>
      </c>
      <c r="O101" s="105">
        <f t="shared" si="46"/>
        <v>163</v>
      </c>
      <c r="P101" s="105">
        <f t="shared" si="57"/>
        <v>1</v>
      </c>
      <c r="Q101" s="105">
        <f t="shared" si="58"/>
        <v>32.5</v>
      </c>
      <c r="R101" s="105">
        <f t="shared" si="47"/>
        <v>163</v>
      </c>
      <c r="S101" s="105">
        <f t="shared" si="59"/>
        <v>1</v>
      </c>
      <c r="T101" s="105">
        <f t="shared" si="60"/>
        <v>32.5</v>
      </c>
      <c r="U101" s="105">
        <f t="shared" si="22"/>
        <v>163</v>
      </c>
      <c r="V101" s="105">
        <f t="shared" si="48"/>
        <v>1</v>
      </c>
      <c r="W101" s="105">
        <f t="shared" si="49"/>
        <v>32.5</v>
      </c>
      <c r="X101" s="105">
        <f t="shared" si="25"/>
        <v>163</v>
      </c>
      <c r="Y101" s="105">
        <f t="shared" si="50"/>
        <v>1</v>
      </c>
      <c r="Z101" s="105">
        <f t="shared" si="51"/>
        <v>32.5</v>
      </c>
      <c r="AA101" s="105">
        <f t="shared" si="11"/>
        <v>0.72</v>
      </c>
    </row>
    <row r="102" spans="1:27" ht="12.75" customHeight="1">
      <c r="A102" s="2"/>
      <c r="B102" s="443" t="str">
        <f t="shared" si="61"/>
        <v>AsXSn 2x35</v>
      </c>
      <c r="C102" s="105">
        <f t="shared" si="61"/>
        <v>193</v>
      </c>
      <c r="D102" s="105">
        <f t="shared" si="61"/>
        <v>1</v>
      </c>
      <c r="E102" s="105">
        <f t="shared" si="61"/>
        <v>27.5</v>
      </c>
      <c r="F102" s="105">
        <f t="shared" si="42"/>
        <v>193</v>
      </c>
      <c r="G102" s="105">
        <f t="shared" si="52"/>
        <v>1</v>
      </c>
      <c r="H102" s="105">
        <f t="shared" si="53"/>
        <v>27.5</v>
      </c>
      <c r="I102" s="105">
        <f t="shared" si="43"/>
        <v>193</v>
      </c>
      <c r="J102" s="105">
        <f t="shared" si="54"/>
        <v>1</v>
      </c>
      <c r="K102" s="105">
        <f t="shared" si="55"/>
        <v>27.5</v>
      </c>
      <c r="L102" s="105">
        <f t="shared" si="44"/>
        <v>193</v>
      </c>
      <c r="M102" s="105">
        <f t="shared" si="56"/>
        <v>1</v>
      </c>
      <c r="N102" s="105">
        <f t="shared" si="45"/>
        <v>27.5</v>
      </c>
      <c r="O102" s="105">
        <f t="shared" si="46"/>
        <v>193</v>
      </c>
      <c r="P102" s="105">
        <f t="shared" si="57"/>
        <v>1</v>
      </c>
      <c r="Q102" s="105">
        <f t="shared" si="58"/>
        <v>27.5</v>
      </c>
      <c r="R102" s="105">
        <f t="shared" si="47"/>
        <v>193</v>
      </c>
      <c r="S102" s="105">
        <f t="shared" si="59"/>
        <v>1</v>
      </c>
      <c r="T102" s="105">
        <f t="shared" si="60"/>
        <v>27.5</v>
      </c>
      <c r="U102" s="105">
        <f t="shared" si="22"/>
        <v>193</v>
      </c>
      <c r="V102" s="105">
        <f t="shared" si="48"/>
        <v>1</v>
      </c>
      <c r="W102" s="105">
        <f t="shared" si="49"/>
        <v>27.5</v>
      </c>
      <c r="X102" s="105">
        <f t="shared" si="25"/>
        <v>193</v>
      </c>
      <c r="Y102" s="105">
        <f t="shared" si="50"/>
        <v>1</v>
      </c>
      <c r="Z102" s="105">
        <f t="shared" si="51"/>
        <v>27.5</v>
      </c>
      <c r="AA102" s="105">
        <f t="shared" si="11"/>
        <v>0.8</v>
      </c>
    </row>
    <row r="103" spans="1:27" ht="12.75" customHeight="1">
      <c r="A103" s="2"/>
      <c r="B103" s="443" t="str">
        <f t="shared" si="61"/>
        <v>AsXSn 4x120</v>
      </c>
      <c r="C103" s="105">
        <f t="shared" si="61"/>
        <v>600</v>
      </c>
      <c r="D103" s="105">
        <f t="shared" si="61"/>
        <v>1</v>
      </c>
      <c r="E103" s="105">
        <f t="shared" si="61"/>
        <v>12.5</v>
      </c>
      <c r="F103" s="105">
        <f t="shared" si="42"/>
        <v>600</v>
      </c>
      <c r="G103" s="105">
        <f t="shared" si="52"/>
        <v>1</v>
      </c>
      <c r="H103" s="105">
        <f t="shared" si="53"/>
        <v>12.5</v>
      </c>
      <c r="I103" s="105">
        <f t="shared" si="43"/>
        <v>600</v>
      </c>
      <c r="J103" s="105">
        <f t="shared" si="54"/>
        <v>1</v>
      </c>
      <c r="K103" s="105">
        <f t="shared" si="55"/>
        <v>12.5</v>
      </c>
      <c r="L103" s="105">
        <f t="shared" si="44"/>
        <v>600</v>
      </c>
      <c r="M103" s="105">
        <f t="shared" si="56"/>
        <v>1</v>
      </c>
      <c r="N103" s="105">
        <f t="shared" si="45"/>
        <v>12.5</v>
      </c>
      <c r="O103" s="105">
        <f t="shared" si="46"/>
        <v>600</v>
      </c>
      <c r="P103" s="105">
        <f t="shared" si="57"/>
        <v>1</v>
      </c>
      <c r="Q103" s="105">
        <f t="shared" si="58"/>
        <v>12.5</v>
      </c>
      <c r="R103" s="105">
        <f t="shared" si="47"/>
        <v>600</v>
      </c>
      <c r="S103" s="105">
        <f t="shared" si="59"/>
        <v>1</v>
      </c>
      <c r="T103" s="105">
        <f t="shared" si="60"/>
        <v>12.5</v>
      </c>
      <c r="U103" s="105">
        <f t="shared" si="22"/>
        <v>576</v>
      </c>
      <c r="V103" s="105">
        <f t="shared" si="48"/>
        <v>1.1499999999999999</v>
      </c>
      <c r="W103" s="105">
        <f t="shared" si="49"/>
        <v>12</v>
      </c>
      <c r="X103" s="105">
        <f t="shared" si="25"/>
        <v>648</v>
      </c>
      <c r="Y103" s="105">
        <f t="shared" si="50"/>
        <v>1.3</v>
      </c>
      <c r="Z103" s="105">
        <f t="shared" si="51"/>
        <v>13.5</v>
      </c>
      <c r="AA103" s="105">
        <f t="shared" si="11"/>
        <v>1.58</v>
      </c>
    </row>
    <row r="104" spans="1:27" ht="12.75" customHeight="1">
      <c r="A104" s="2"/>
      <c r="B104" s="443" t="str">
        <f t="shared" si="61"/>
        <v>AsXSn 4x120+25</v>
      </c>
      <c r="C104" s="105">
        <f t="shared" si="61"/>
        <v>600</v>
      </c>
      <c r="D104" s="105">
        <f t="shared" si="61"/>
        <v>1</v>
      </c>
      <c r="E104" s="105">
        <f t="shared" si="61"/>
        <v>12.5</v>
      </c>
      <c r="F104" s="105">
        <f t="shared" si="42"/>
        <v>600</v>
      </c>
      <c r="G104" s="105">
        <f t="shared" si="52"/>
        <v>1</v>
      </c>
      <c r="H104" s="105">
        <f t="shared" si="53"/>
        <v>12.5</v>
      </c>
      <c r="I104" s="105">
        <f t="shared" si="43"/>
        <v>600</v>
      </c>
      <c r="J104" s="105">
        <f t="shared" si="54"/>
        <v>1</v>
      </c>
      <c r="K104" s="105">
        <f t="shared" si="55"/>
        <v>12.5</v>
      </c>
      <c r="L104" s="105">
        <f t="shared" si="44"/>
        <v>600</v>
      </c>
      <c r="M104" s="105">
        <f t="shared" si="56"/>
        <v>1</v>
      </c>
      <c r="N104" s="105">
        <f t="shared" si="45"/>
        <v>12.5</v>
      </c>
      <c r="O104" s="105">
        <f t="shared" si="46"/>
        <v>600</v>
      </c>
      <c r="P104" s="105">
        <f t="shared" si="57"/>
        <v>1</v>
      </c>
      <c r="Q104" s="105">
        <f t="shared" si="58"/>
        <v>12.5</v>
      </c>
      <c r="R104" s="105">
        <f t="shared" si="47"/>
        <v>600</v>
      </c>
      <c r="S104" s="105">
        <f t="shared" si="59"/>
        <v>1</v>
      </c>
      <c r="T104" s="105">
        <f t="shared" si="60"/>
        <v>12.5</v>
      </c>
      <c r="U104" s="105">
        <f t="shared" si="22"/>
        <v>600</v>
      </c>
      <c r="V104" s="105">
        <f t="shared" si="48"/>
        <v>1.1499999999999999</v>
      </c>
      <c r="W104" s="105">
        <f t="shared" si="49"/>
        <v>12.5</v>
      </c>
      <c r="X104" s="105">
        <f t="shared" si="25"/>
        <v>816</v>
      </c>
      <c r="Y104" s="105">
        <f t="shared" si="50"/>
        <v>1.3</v>
      </c>
      <c r="Z104" s="105">
        <f t="shared" si="51"/>
        <v>17</v>
      </c>
      <c r="AA104" s="105">
        <f t="shared" si="11"/>
        <v>1.64</v>
      </c>
    </row>
    <row r="105" spans="1:27" ht="12.75" customHeight="1">
      <c r="A105" s="2"/>
      <c r="B105" s="443" t="str">
        <f t="shared" si="61"/>
        <v>AsXSn 4x120+2x25</v>
      </c>
      <c r="C105" s="105">
        <f t="shared" si="61"/>
        <v>600</v>
      </c>
      <c r="D105" s="105">
        <f t="shared" si="61"/>
        <v>1</v>
      </c>
      <c r="E105" s="105">
        <f t="shared" si="61"/>
        <v>12.5</v>
      </c>
      <c r="F105" s="105">
        <f t="shared" si="42"/>
        <v>600</v>
      </c>
      <c r="G105" s="105">
        <f t="shared" si="52"/>
        <v>1</v>
      </c>
      <c r="H105" s="105">
        <f t="shared" si="53"/>
        <v>12.5</v>
      </c>
      <c r="I105" s="105">
        <f t="shared" si="43"/>
        <v>600</v>
      </c>
      <c r="J105" s="105">
        <f t="shared" si="54"/>
        <v>1</v>
      </c>
      <c r="K105" s="105">
        <f t="shared" si="55"/>
        <v>12.5</v>
      </c>
      <c r="L105" s="105">
        <f t="shared" si="44"/>
        <v>600</v>
      </c>
      <c r="M105" s="105">
        <f t="shared" si="56"/>
        <v>1</v>
      </c>
      <c r="N105" s="105">
        <f t="shared" si="45"/>
        <v>12.5</v>
      </c>
      <c r="O105" s="105">
        <f t="shared" si="46"/>
        <v>600</v>
      </c>
      <c r="P105" s="105">
        <f t="shared" si="57"/>
        <v>1</v>
      </c>
      <c r="Q105" s="105">
        <f t="shared" si="58"/>
        <v>12.5</v>
      </c>
      <c r="R105" s="105">
        <f t="shared" si="47"/>
        <v>600</v>
      </c>
      <c r="S105" s="105">
        <f t="shared" si="59"/>
        <v>1</v>
      </c>
      <c r="T105" s="105">
        <f t="shared" si="60"/>
        <v>12.5</v>
      </c>
      <c r="U105" s="105">
        <f t="shared" si="22"/>
        <v>648</v>
      </c>
      <c r="V105" s="105">
        <f t="shared" si="48"/>
        <v>1.1499999999999999</v>
      </c>
      <c r="W105" s="105">
        <f t="shared" si="49"/>
        <v>13.5</v>
      </c>
      <c r="X105" s="105">
        <f t="shared" si="25"/>
        <v>720</v>
      </c>
      <c r="Y105" s="105">
        <f t="shared" si="50"/>
        <v>1.3</v>
      </c>
      <c r="Z105" s="105">
        <f t="shared" si="51"/>
        <v>15</v>
      </c>
      <c r="AA105" s="105">
        <f t="shared" si="11"/>
        <v>1.89</v>
      </c>
    </row>
    <row r="106" spans="1:27" ht="12.75" customHeight="1">
      <c r="A106" s="2"/>
      <c r="B106" s="443" t="str">
        <f t="shared" si="61"/>
        <v>AsXSn 4x120+2x35</v>
      </c>
      <c r="C106" s="105">
        <f t="shared" si="61"/>
        <v>600</v>
      </c>
      <c r="D106" s="105">
        <f t="shared" si="61"/>
        <v>1</v>
      </c>
      <c r="E106" s="105">
        <f t="shared" si="61"/>
        <v>12.5</v>
      </c>
      <c r="F106" s="105">
        <f t="shared" si="42"/>
        <v>600</v>
      </c>
      <c r="G106" s="105">
        <f t="shared" si="52"/>
        <v>1</v>
      </c>
      <c r="H106" s="105">
        <f t="shared" si="53"/>
        <v>12.5</v>
      </c>
      <c r="I106" s="105">
        <f t="shared" si="43"/>
        <v>600</v>
      </c>
      <c r="J106" s="105">
        <f t="shared" si="54"/>
        <v>1</v>
      </c>
      <c r="K106" s="105">
        <f t="shared" si="55"/>
        <v>12.5</v>
      </c>
      <c r="L106" s="105">
        <f t="shared" si="44"/>
        <v>600</v>
      </c>
      <c r="M106" s="105">
        <f t="shared" si="56"/>
        <v>1</v>
      </c>
      <c r="N106" s="105">
        <f t="shared" si="45"/>
        <v>12.5</v>
      </c>
      <c r="O106" s="105">
        <f t="shared" si="46"/>
        <v>600</v>
      </c>
      <c r="P106" s="105">
        <f t="shared" si="57"/>
        <v>1</v>
      </c>
      <c r="Q106" s="105">
        <f t="shared" si="58"/>
        <v>12.5</v>
      </c>
      <c r="R106" s="105">
        <f t="shared" si="47"/>
        <v>600</v>
      </c>
      <c r="S106" s="105">
        <f t="shared" si="59"/>
        <v>1</v>
      </c>
      <c r="T106" s="105">
        <f t="shared" si="60"/>
        <v>12.5</v>
      </c>
      <c r="U106" s="105">
        <f t="shared" si="22"/>
        <v>672</v>
      </c>
      <c r="V106" s="105">
        <f t="shared" si="48"/>
        <v>1.1499999999999999</v>
      </c>
      <c r="W106" s="105">
        <f t="shared" si="49"/>
        <v>14</v>
      </c>
      <c r="X106" s="105">
        <f t="shared" si="25"/>
        <v>744</v>
      </c>
      <c r="Y106" s="105">
        <f t="shared" si="50"/>
        <v>1.3</v>
      </c>
      <c r="Z106" s="105">
        <f t="shared" si="51"/>
        <v>15.5</v>
      </c>
      <c r="AA106" s="105">
        <f t="shared" si="11"/>
        <v>1.99</v>
      </c>
    </row>
    <row r="107" spans="1:27" ht="12.75" customHeight="1">
      <c r="A107" s="2"/>
      <c r="B107" s="443" t="str">
        <f t="shared" si="61"/>
        <v>AsXSn 4x120+35</v>
      </c>
      <c r="C107" s="105">
        <f t="shared" si="61"/>
        <v>600</v>
      </c>
      <c r="D107" s="105">
        <f t="shared" si="61"/>
        <v>1</v>
      </c>
      <c r="E107" s="105">
        <f t="shared" si="61"/>
        <v>12.5</v>
      </c>
      <c r="F107" s="105">
        <f t="shared" si="42"/>
        <v>600</v>
      </c>
      <c r="G107" s="105">
        <f t="shared" si="52"/>
        <v>1</v>
      </c>
      <c r="H107" s="105">
        <f t="shared" si="53"/>
        <v>12.5</v>
      </c>
      <c r="I107" s="105">
        <f t="shared" si="43"/>
        <v>600</v>
      </c>
      <c r="J107" s="105">
        <f t="shared" si="54"/>
        <v>1</v>
      </c>
      <c r="K107" s="105">
        <f t="shared" si="55"/>
        <v>12.5</v>
      </c>
      <c r="L107" s="105">
        <f t="shared" si="44"/>
        <v>600</v>
      </c>
      <c r="M107" s="105">
        <f t="shared" si="56"/>
        <v>1</v>
      </c>
      <c r="N107" s="105">
        <f t="shared" si="45"/>
        <v>12.5</v>
      </c>
      <c r="O107" s="105">
        <f t="shared" si="46"/>
        <v>600</v>
      </c>
      <c r="P107" s="105">
        <f t="shared" si="57"/>
        <v>1</v>
      </c>
      <c r="Q107" s="105">
        <f t="shared" si="58"/>
        <v>12.5</v>
      </c>
      <c r="R107" s="105">
        <f t="shared" si="47"/>
        <v>600</v>
      </c>
      <c r="S107" s="105">
        <f t="shared" si="59"/>
        <v>1</v>
      </c>
      <c r="T107" s="105">
        <f t="shared" si="60"/>
        <v>12.5</v>
      </c>
      <c r="U107" s="105">
        <f t="shared" si="22"/>
        <v>600</v>
      </c>
      <c r="V107" s="105">
        <f t="shared" si="48"/>
        <v>1.1499999999999999</v>
      </c>
      <c r="W107" s="105">
        <f t="shared" si="49"/>
        <v>12.5</v>
      </c>
      <c r="X107" s="105">
        <f t="shared" si="25"/>
        <v>672</v>
      </c>
      <c r="Y107" s="105">
        <f t="shared" si="50"/>
        <v>1.3</v>
      </c>
      <c r="Z107" s="105">
        <f t="shared" si="51"/>
        <v>14</v>
      </c>
      <c r="AA107" s="105">
        <f t="shared" si="11"/>
        <v>1.65</v>
      </c>
    </row>
    <row r="108" spans="1:27" ht="12.75" customHeight="1">
      <c r="A108" s="2"/>
      <c r="B108" s="443" t="str">
        <f t="shared" si="61"/>
        <v>AsXSn 4x25</v>
      </c>
      <c r="C108" s="105">
        <f t="shared" si="61"/>
        <v>225</v>
      </c>
      <c r="D108" s="105">
        <f t="shared" si="61"/>
        <v>1</v>
      </c>
      <c r="E108" s="105">
        <f t="shared" si="61"/>
        <v>22.5</v>
      </c>
      <c r="F108" s="105">
        <f t="shared" si="42"/>
        <v>225</v>
      </c>
      <c r="G108" s="105">
        <f t="shared" si="52"/>
        <v>1</v>
      </c>
      <c r="H108" s="105">
        <f t="shared" si="53"/>
        <v>22.5</v>
      </c>
      <c r="I108" s="105">
        <f t="shared" si="43"/>
        <v>225</v>
      </c>
      <c r="J108" s="105">
        <f t="shared" si="54"/>
        <v>1</v>
      </c>
      <c r="K108" s="105">
        <f t="shared" si="55"/>
        <v>22.5</v>
      </c>
      <c r="L108" s="105">
        <f t="shared" si="44"/>
        <v>225</v>
      </c>
      <c r="M108" s="105">
        <f t="shared" si="56"/>
        <v>1</v>
      </c>
      <c r="N108" s="105">
        <f t="shared" si="45"/>
        <v>22.5</v>
      </c>
      <c r="O108" s="105">
        <f t="shared" si="46"/>
        <v>225</v>
      </c>
      <c r="P108" s="105">
        <f t="shared" si="57"/>
        <v>1</v>
      </c>
      <c r="Q108" s="105">
        <f t="shared" si="58"/>
        <v>22.5</v>
      </c>
      <c r="R108" s="105">
        <f t="shared" si="47"/>
        <v>225</v>
      </c>
      <c r="S108" s="105">
        <f t="shared" si="59"/>
        <v>1</v>
      </c>
      <c r="T108" s="105">
        <f t="shared" si="60"/>
        <v>22.5</v>
      </c>
      <c r="U108" s="105">
        <f t="shared" si="22"/>
        <v>235</v>
      </c>
      <c r="V108" s="105">
        <f t="shared" si="48"/>
        <v>1.1499999999999999</v>
      </c>
      <c r="W108" s="105">
        <f t="shared" si="49"/>
        <v>23.5</v>
      </c>
      <c r="X108" s="105">
        <f t="shared" si="25"/>
        <v>265</v>
      </c>
      <c r="Y108" s="105">
        <f t="shared" si="50"/>
        <v>1.3</v>
      </c>
      <c r="Z108" s="105">
        <f t="shared" si="51"/>
        <v>26.5</v>
      </c>
      <c r="AA108" s="105">
        <f t="shared" si="11"/>
        <v>0.83799999999999997</v>
      </c>
    </row>
    <row r="109" spans="1:27" ht="12.75" customHeight="1">
      <c r="A109" s="2"/>
      <c r="B109" s="443" t="str">
        <f t="shared" si="61"/>
        <v>AsXSn 4x35</v>
      </c>
      <c r="C109" s="105">
        <f t="shared" si="61"/>
        <v>280</v>
      </c>
      <c r="D109" s="105">
        <f t="shared" si="61"/>
        <v>1</v>
      </c>
      <c r="E109" s="105">
        <f t="shared" si="61"/>
        <v>20</v>
      </c>
      <c r="F109" s="105">
        <f t="shared" si="42"/>
        <v>280</v>
      </c>
      <c r="G109" s="105">
        <f t="shared" si="52"/>
        <v>1</v>
      </c>
      <c r="H109" s="105">
        <f t="shared" si="53"/>
        <v>20</v>
      </c>
      <c r="I109" s="105">
        <f t="shared" si="43"/>
        <v>280</v>
      </c>
      <c r="J109" s="105">
        <f t="shared" si="54"/>
        <v>1</v>
      </c>
      <c r="K109" s="105">
        <f t="shared" si="55"/>
        <v>20</v>
      </c>
      <c r="L109" s="105">
        <f t="shared" si="44"/>
        <v>280</v>
      </c>
      <c r="M109" s="105">
        <f t="shared" si="56"/>
        <v>1</v>
      </c>
      <c r="N109" s="105">
        <f t="shared" si="45"/>
        <v>20</v>
      </c>
      <c r="O109" s="105">
        <f t="shared" si="46"/>
        <v>280</v>
      </c>
      <c r="P109" s="105">
        <f t="shared" si="57"/>
        <v>1</v>
      </c>
      <c r="Q109" s="105">
        <f t="shared" si="58"/>
        <v>20</v>
      </c>
      <c r="R109" s="105">
        <f t="shared" si="47"/>
        <v>280</v>
      </c>
      <c r="S109" s="105">
        <f t="shared" si="59"/>
        <v>1</v>
      </c>
      <c r="T109" s="105">
        <f t="shared" si="60"/>
        <v>20</v>
      </c>
      <c r="U109" s="105">
        <f t="shared" si="22"/>
        <v>273</v>
      </c>
      <c r="V109" s="105">
        <f t="shared" si="48"/>
        <v>1.1499999999999999</v>
      </c>
      <c r="W109" s="105">
        <f t="shared" si="49"/>
        <v>19.5</v>
      </c>
      <c r="X109" s="105">
        <f t="shared" si="25"/>
        <v>308</v>
      </c>
      <c r="Y109" s="105">
        <f t="shared" si="50"/>
        <v>1.3</v>
      </c>
      <c r="Z109" s="105">
        <f t="shared" si="51"/>
        <v>22</v>
      </c>
      <c r="AA109" s="105">
        <f t="shared" si="11"/>
        <v>0.94</v>
      </c>
    </row>
    <row r="110" spans="1:27" ht="12.75" customHeight="1">
      <c r="A110" s="2"/>
      <c r="B110" s="443" t="str">
        <f t="shared" si="61"/>
        <v>AsXSn 4x35+25</v>
      </c>
      <c r="C110" s="105">
        <f t="shared" si="61"/>
        <v>315</v>
      </c>
      <c r="D110" s="105">
        <f t="shared" si="61"/>
        <v>1</v>
      </c>
      <c r="E110" s="105">
        <f t="shared" si="61"/>
        <v>22.5</v>
      </c>
      <c r="F110" s="105">
        <f t="shared" si="42"/>
        <v>315</v>
      </c>
      <c r="G110" s="105">
        <f t="shared" si="52"/>
        <v>1</v>
      </c>
      <c r="H110" s="105">
        <f t="shared" si="53"/>
        <v>22.5</v>
      </c>
      <c r="I110" s="105">
        <f t="shared" si="43"/>
        <v>315</v>
      </c>
      <c r="J110" s="105">
        <f t="shared" si="54"/>
        <v>1</v>
      </c>
      <c r="K110" s="105">
        <f t="shared" si="55"/>
        <v>22.5</v>
      </c>
      <c r="L110" s="105">
        <f t="shared" si="44"/>
        <v>315</v>
      </c>
      <c r="M110" s="105">
        <f t="shared" si="56"/>
        <v>1</v>
      </c>
      <c r="N110" s="105">
        <f t="shared" si="45"/>
        <v>22.5</v>
      </c>
      <c r="O110" s="105">
        <f t="shared" si="46"/>
        <v>315</v>
      </c>
      <c r="P110" s="105">
        <f t="shared" si="57"/>
        <v>1</v>
      </c>
      <c r="Q110" s="105">
        <f t="shared" si="58"/>
        <v>22.5</v>
      </c>
      <c r="R110" s="105">
        <f t="shared" si="47"/>
        <v>315</v>
      </c>
      <c r="S110" s="105">
        <f t="shared" si="59"/>
        <v>1</v>
      </c>
      <c r="T110" s="105">
        <f t="shared" si="60"/>
        <v>22.5</v>
      </c>
      <c r="U110" s="105">
        <f t="shared" si="22"/>
        <v>294</v>
      </c>
      <c r="V110" s="105">
        <f t="shared" si="48"/>
        <v>1.1499999999999999</v>
      </c>
      <c r="W110" s="105">
        <f t="shared" si="49"/>
        <v>21</v>
      </c>
      <c r="X110" s="105">
        <f t="shared" si="25"/>
        <v>336</v>
      </c>
      <c r="Y110" s="105">
        <f t="shared" si="50"/>
        <v>1.3</v>
      </c>
      <c r="Z110" s="105">
        <f t="shared" si="51"/>
        <v>24</v>
      </c>
      <c r="AA110" s="105">
        <f t="shared" ref="AA110:AA141" si="62">R44</f>
        <v>1.05</v>
      </c>
    </row>
    <row r="111" spans="1:27" ht="12.75" customHeight="1">
      <c r="A111" s="2"/>
      <c r="B111" s="443" t="str">
        <f t="shared" si="61"/>
        <v>AsXSn 4x35+35</v>
      </c>
      <c r="C111" s="105">
        <f t="shared" si="61"/>
        <v>315</v>
      </c>
      <c r="D111" s="105">
        <f t="shared" si="61"/>
        <v>1</v>
      </c>
      <c r="E111" s="105">
        <f t="shared" si="61"/>
        <v>22.5</v>
      </c>
      <c r="F111" s="105">
        <f t="shared" si="42"/>
        <v>315</v>
      </c>
      <c r="G111" s="105">
        <f t="shared" si="52"/>
        <v>1</v>
      </c>
      <c r="H111" s="105">
        <f t="shared" si="53"/>
        <v>22.5</v>
      </c>
      <c r="I111" s="105">
        <f t="shared" si="43"/>
        <v>315</v>
      </c>
      <c r="J111" s="105">
        <f t="shared" si="54"/>
        <v>1</v>
      </c>
      <c r="K111" s="105">
        <f t="shared" si="55"/>
        <v>22.5</v>
      </c>
      <c r="L111" s="105">
        <f t="shared" si="44"/>
        <v>315</v>
      </c>
      <c r="M111" s="105">
        <f t="shared" si="56"/>
        <v>1</v>
      </c>
      <c r="N111" s="105">
        <f t="shared" si="45"/>
        <v>22.5</v>
      </c>
      <c r="O111" s="105">
        <f t="shared" si="46"/>
        <v>315</v>
      </c>
      <c r="P111" s="105">
        <f t="shared" si="57"/>
        <v>1</v>
      </c>
      <c r="Q111" s="105">
        <f t="shared" si="58"/>
        <v>22.5</v>
      </c>
      <c r="R111" s="105">
        <f t="shared" si="47"/>
        <v>315</v>
      </c>
      <c r="S111" s="105">
        <f t="shared" si="59"/>
        <v>1</v>
      </c>
      <c r="T111" s="105">
        <f t="shared" si="60"/>
        <v>22.5</v>
      </c>
      <c r="U111" s="105">
        <f t="shared" si="22"/>
        <v>315</v>
      </c>
      <c r="V111" s="105">
        <f t="shared" si="48"/>
        <v>1.1499999999999999</v>
      </c>
      <c r="W111" s="105">
        <f t="shared" si="49"/>
        <v>22.5</v>
      </c>
      <c r="X111" s="105">
        <f t="shared" si="25"/>
        <v>350</v>
      </c>
      <c r="Y111" s="105">
        <f t="shared" si="50"/>
        <v>1.3</v>
      </c>
      <c r="Z111" s="105">
        <f t="shared" si="51"/>
        <v>25</v>
      </c>
      <c r="AA111" s="105">
        <f t="shared" si="62"/>
        <v>1.1100000000000001</v>
      </c>
    </row>
    <row r="112" spans="1:27" ht="12.75" customHeight="1">
      <c r="A112" s="2"/>
      <c r="B112" s="443" t="str">
        <f t="shared" si="61"/>
        <v>AsXSn 4x50</v>
      </c>
      <c r="C112" s="105">
        <f t="shared" si="61"/>
        <v>350</v>
      </c>
      <c r="D112" s="105">
        <f t="shared" si="61"/>
        <v>1</v>
      </c>
      <c r="E112" s="105">
        <f t="shared" si="61"/>
        <v>17.5</v>
      </c>
      <c r="F112" s="105">
        <f t="shared" si="42"/>
        <v>350</v>
      </c>
      <c r="G112" s="105">
        <f t="shared" si="52"/>
        <v>1</v>
      </c>
      <c r="H112" s="105">
        <f t="shared" si="53"/>
        <v>17.5</v>
      </c>
      <c r="I112" s="105">
        <f t="shared" si="43"/>
        <v>350</v>
      </c>
      <c r="J112" s="105">
        <f t="shared" si="54"/>
        <v>1</v>
      </c>
      <c r="K112" s="105">
        <f t="shared" si="55"/>
        <v>17.5</v>
      </c>
      <c r="L112" s="105">
        <f t="shared" si="44"/>
        <v>350</v>
      </c>
      <c r="M112" s="105">
        <f t="shared" si="56"/>
        <v>1</v>
      </c>
      <c r="N112" s="105">
        <f t="shared" si="45"/>
        <v>17.5</v>
      </c>
      <c r="O112" s="105">
        <f t="shared" si="46"/>
        <v>350</v>
      </c>
      <c r="P112" s="105">
        <f t="shared" si="57"/>
        <v>1</v>
      </c>
      <c r="Q112" s="105">
        <f t="shared" si="58"/>
        <v>17.5</v>
      </c>
      <c r="R112" s="105">
        <f t="shared" si="47"/>
        <v>350</v>
      </c>
      <c r="S112" s="105">
        <f t="shared" si="59"/>
        <v>1</v>
      </c>
      <c r="T112" s="105">
        <f t="shared" si="60"/>
        <v>17.5</v>
      </c>
      <c r="U112" s="105">
        <f t="shared" si="22"/>
        <v>330</v>
      </c>
      <c r="V112" s="105">
        <f t="shared" si="48"/>
        <v>1.1499999999999999</v>
      </c>
      <c r="W112" s="105">
        <f t="shared" si="49"/>
        <v>16.5</v>
      </c>
      <c r="X112" s="105">
        <f t="shared" si="25"/>
        <v>370</v>
      </c>
      <c r="Y112" s="105">
        <f t="shared" si="50"/>
        <v>1.3</v>
      </c>
      <c r="Z112" s="105">
        <f t="shared" si="51"/>
        <v>18.5</v>
      </c>
      <c r="AA112" s="105">
        <f t="shared" si="62"/>
        <v>1.0900000000000001</v>
      </c>
    </row>
    <row r="113" spans="1:27" ht="12.75" customHeight="1">
      <c r="A113" s="2"/>
      <c r="B113" s="443" t="str">
        <f t="shared" si="61"/>
        <v>AsXSn 4x50+25</v>
      </c>
      <c r="C113" s="105">
        <f t="shared" si="61"/>
        <v>350</v>
      </c>
      <c r="D113" s="105">
        <f t="shared" si="61"/>
        <v>1</v>
      </c>
      <c r="E113" s="105">
        <f t="shared" si="61"/>
        <v>17.5</v>
      </c>
      <c r="F113" s="105">
        <f t="shared" si="42"/>
        <v>350</v>
      </c>
      <c r="G113" s="105">
        <f t="shared" si="52"/>
        <v>1</v>
      </c>
      <c r="H113" s="105">
        <f t="shared" si="53"/>
        <v>17.5</v>
      </c>
      <c r="I113" s="105">
        <f t="shared" si="43"/>
        <v>350</v>
      </c>
      <c r="J113" s="105">
        <f t="shared" si="54"/>
        <v>1</v>
      </c>
      <c r="K113" s="105">
        <f t="shared" si="55"/>
        <v>17.5</v>
      </c>
      <c r="L113" s="105">
        <f t="shared" si="44"/>
        <v>350</v>
      </c>
      <c r="M113" s="105">
        <f t="shared" si="56"/>
        <v>1</v>
      </c>
      <c r="N113" s="105">
        <f t="shared" si="45"/>
        <v>17.5</v>
      </c>
      <c r="O113" s="105">
        <f t="shared" si="46"/>
        <v>350</v>
      </c>
      <c r="P113" s="105">
        <f t="shared" si="57"/>
        <v>1</v>
      </c>
      <c r="Q113" s="105">
        <f t="shared" si="58"/>
        <v>17.5</v>
      </c>
      <c r="R113" s="105">
        <f t="shared" si="47"/>
        <v>350</v>
      </c>
      <c r="S113" s="105">
        <f t="shared" si="59"/>
        <v>1</v>
      </c>
      <c r="T113" s="105">
        <f t="shared" si="60"/>
        <v>17.5</v>
      </c>
      <c r="U113" s="105">
        <f t="shared" si="22"/>
        <v>350</v>
      </c>
      <c r="V113" s="105">
        <f t="shared" si="48"/>
        <v>1.1499999999999999</v>
      </c>
      <c r="W113" s="105">
        <f t="shared" si="49"/>
        <v>17.5</v>
      </c>
      <c r="X113" s="105">
        <f t="shared" si="25"/>
        <v>400</v>
      </c>
      <c r="Y113" s="105">
        <f t="shared" si="50"/>
        <v>1.3</v>
      </c>
      <c r="Z113" s="105">
        <f t="shared" si="51"/>
        <v>20</v>
      </c>
      <c r="AA113" s="105">
        <f t="shared" si="62"/>
        <v>1.1599999999999999</v>
      </c>
    </row>
    <row r="114" spans="1:27" ht="12.75" customHeight="1">
      <c r="A114" s="2"/>
      <c r="B114" s="443" t="str">
        <f t="shared" si="61"/>
        <v>AsXSn 4x50+2x25</v>
      </c>
      <c r="C114" s="105">
        <f t="shared" si="61"/>
        <v>400</v>
      </c>
      <c r="D114" s="105">
        <f t="shared" si="61"/>
        <v>1</v>
      </c>
      <c r="E114" s="105">
        <f t="shared" si="61"/>
        <v>20</v>
      </c>
      <c r="F114" s="105">
        <f t="shared" si="42"/>
        <v>400</v>
      </c>
      <c r="G114" s="105">
        <f t="shared" si="52"/>
        <v>1</v>
      </c>
      <c r="H114" s="105">
        <f t="shared" si="53"/>
        <v>20</v>
      </c>
      <c r="I114" s="105">
        <f t="shared" si="43"/>
        <v>400</v>
      </c>
      <c r="J114" s="105">
        <f t="shared" si="54"/>
        <v>1</v>
      </c>
      <c r="K114" s="105">
        <f t="shared" si="55"/>
        <v>20</v>
      </c>
      <c r="L114" s="105">
        <f t="shared" si="44"/>
        <v>400</v>
      </c>
      <c r="M114" s="105">
        <f t="shared" si="56"/>
        <v>1</v>
      </c>
      <c r="N114" s="105">
        <f t="shared" si="45"/>
        <v>20</v>
      </c>
      <c r="O114" s="105">
        <f t="shared" si="46"/>
        <v>400</v>
      </c>
      <c r="P114" s="105">
        <f t="shared" si="57"/>
        <v>1</v>
      </c>
      <c r="Q114" s="105">
        <f t="shared" si="58"/>
        <v>20</v>
      </c>
      <c r="R114" s="105">
        <f t="shared" si="47"/>
        <v>400</v>
      </c>
      <c r="S114" s="105">
        <f t="shared" si="59"/>
        <v>1</v>
      </c>
      <c r="T114" s="105">
        <f t="shared" si="60"/>
        <v>20</v>
      </c>
      <c r="U114" s="105">
        <f t="shared" si="22"/>
        <v>400</v>
      </c>
      <c r="V114" s="105">
        <f t="shared" si="48"/>
        <v>1.1499999999999999</v>
      </c>
      <c r="W114" s="105">
        <f t="shared" si="49"/>
        <v>20</v>
      </c>
      <c r="X114" s="105">
        <f t="shared" si="25"/>
        <v>450</v>
      </c>
      <c r="Y114" s="105">
        <f t="shared" si="50"/>
        <v>1.3</v>
      </c>
      <c r="Z114" s="105">
        <f t="shared" si="51"/>
        <v>22.5</v>
      </c>
      <c r="AA114" s="105">
        <f t="shared" si="62"/>
        <v>1.34</v>
      </c>
    </row>
    <row r="115" spans="1:27" ht="12.75" customHeight="1">
      <c r="A115" s="2"/>
      <c r="B115" s="443" t="str">
        <f t="shared" si="61"/>
        <v>AsXSn 4x50+2x35</v>
      </c>
      <c r="C115" s="105">
        <f t="shared" si="61"/>
        <v>400</v>
      </c>
      <c r="D115" s="105">
        <f t="shared" si="61"/>
        <v>1</v>
      </c>
      <c r="E115" s="105">
        <f t="shared" si="61"/>
        <v>20</v>
      </c>
      <c r="F115" s="105">
        <f t="shared" si="42"/>
        <v>400</v>
      </c>
      <c r="G115" s="105">
        <f t="shared" si="52"/>
        <v>1</v>
      </c>
      <c r="H115" s="105">
        <f t="shared" si="53"/>
        <v>20</v>
      </c>
      <c r="I115" s="105">
        <f t="shared" si="43"/>
        <v>400</v>
      </c>
      <c r="J115" s="105">
        <f t="shared" si="54"/>
        <v>1</v>
      </c>
      <c r="K115" s="105">
        <f t="shared" si="55"/>
        <v>20</v>
      </c>
      <c r="L115" s="105">
        <f t="shared" si="44"/>
        <v>400</v>
      </c>
      <c r="M115" s="105">
        <f t="shared" si="56"/>
        <v>1</v>
      </c>
      <c r="N115" s="105">
        <f t="shared" si="45"/>
        <v>20</v>
      </c>
      <c r="O115" s="105">
        <f t="shared" si="46"/>
        <v>400</v>
      </c>
      <c r="P115" s="105">
        <f t="shared" si="57"/>
        <v>1</v>
      </c>
      <c r="Q115" s="105">
        <f t="shared" si="58"/>
        <v>20</v>
      </c>
      <c r="R115" s="105">
        <f t="shared" si="47"/>
        <v>400</v>
      </c>
      <c r="S115" s="105">
        <f t="shared" si="59"/>
        <v>1</v>
      </c>
      <c r="T115" s="105">
        <f t="shared" si="60"/>
        <v>20</v>
      </c>
      <c r="U115" s="105">
        <f t="shared" si="22"/>
        <v>410</v>
      </c>
      <c r="V115" s="105">
        <f t="shared" si="48"/>
        <v>1.1499999999999999</v>
      </c>
      <c r="W115" s="105">
        <f t="shared" si="49"/>
        <v>20.5</v>
      </c>
      <c r="X115" s="105">
        <f t="shared" si="25"/>
        <v>470</v>
      </c>
      <c r="Y115" s="105">
        <f t="shared" si="50"/>
        <v>1.3</v>
      </c>
      <c r="Z115" s="105">
        <f t="shared" si="51"/>
        <v>23.5</v>
      </c>
      <c r="AA115" s="105">
        <f t="shared" si="62"/>
        <v>1.37</v>
      </c>
    </row>
    <row r="116" spans="1:27" ht="12.75" customHeight="1">
      <c r="A116" s="2"/>
      <c r="B116" s="443" t="str">
        <f t="shared" si="61"/>
        <v>AsXSn 4x50+35</v>
      </c>
      <c r="C116" s="105">
        <f t="shared" si="61"/>
        <v>350</v>
      </c>
      <c r="D116" s="105">
        <f t="shared" si="61"/>
        <v>1</v>
      </c>
      <c r="E116" s="105">
        <f t="shared" si="61"/>
        <v>17.5</v>
      </c>
      <c r="F116" s="105">
        <f t="shared" si="42"/>
        <v>350</v>
      </c>
      <c r="G116" s="105">
        <f t="shared" si="52"/>
        <v>1</v>
      </c>
      <c r="H116" s="105">
        <f t="shared" si="53"/>
        <v>17.5</v>
      </c>
      <c r="I116" s="105">
        <f t="shared" si="43"/>
        <v>350</v>
      </c>
      <c r="J116" s="105">
        <f t="shared" si="54"/>
        <v>1</v>
      </c>
      <c r="K116" s="105">
        <f t="shared" si="55"/>
        <v>17.5</v>
      </c>
      <c r="L116" s="105">
        <f t="shared" si="44"/>
        <v>350</v>
      </c>
      <c r="M116" s="105">
        <f t="shared" si="56"/>
        <v>1</v>
      </c>
      <c r="N116" s="105">
        <f t="shared" si="45"/>
        <v>17.5</v>
      </c>
      <c r="O116" s="105">
        <f t="shared" si="46"/>
        <v>350</v>
      </c>
      <c r="P116" s="105">
        <f t="shared" si="57"/>
        <v>1</v>
      </c>
      <c r="Q116" s="105">
        <f t="shared" si="58"/>
        <v>17.5</v>
      </c>
      <c r="R116" s="105">
        <f t="shared" si="47"/>
        <v>350</v>
      </c>
      <c r="S116" s="105">
        <f t="shared" si="59"/>
        <v>1</v>
      </c>
      <c r="T116" s="105">
        <f t="shared" si="60"/>
        <v>17.5</v>
      </c>
      <c r="U116" s="105">
        <f t="shared" si="22"/>
        <v>360</v>
      </c>
      <c r="V116" s="105">
        <f t="shared" si="48"/>
        <v>1.1499999999999999</v>
      </c>
      <c r="W116" s="105">
        <f t="shared" si="49"/>
        <v>18</v>
      </c>
      <c r="X116" s="105">
        <f t="shared" si="25"/>
        <v>410</v>
      </c>
      <c r="Y116" s="105">
        <f t="shared" si="50"/>
        <v>1.3</v>
      </c>
      <c r="Z116" s="105">
        <f t="shared" si="51"/>
        <v>20.5</v>
      </c>
      <c r="AA116" s="105">
        <f t="shared" si="62"/>
        <v>1.23</v>
      </c>
    </row>
    <row r="117" spans="1:27" ht="12.75" customHeight="1">
      <c r="A117" s="2"/>
      <c r="B117" s="443" t="str">
        <f t="shared" si="61"/>
        <v>AsXSn 4x70</v>
      </c>
      <c r="C117" s="105">
        <f t="shared" si="61"/>
        <v>420</v>
      </c>
      <c r="D117" s="105">
        <f t="shared" si="61"/>
        <v>1</v>
      </c>
      <c r="E117" s="105">
        <f t="shared" si="61"/>
        <v>15</v>
      </c>
      <c r="F117" s="105">
        <f t="shared" si="42"/>
        <v>420</v>
      </c>
      <c r="G117" s="105">
        <f t="shared" si="52"/>
        <v>1</v>
      </c>
      <c r="H117" s="105">
        <f t="shared" si="53"/>
        <v>15</v>
      </c>
      <c r="I117" s="105">
        <f t="shared" si="43"/>
        <v>420</v>
      </c>
      <c r="J117" s="105">
        <f t="shared" si="54"/>
        <v>1</v>
      </c>
      <c r="K117" s="105">
        <f t="shared" si="55"/>
        <v>15</v>
      </c>
      <c r="L117" s="105">
        <f t="shared" si="44"/>
        <v>420</v>
      </c>
      <c r="M117" s="105">
        <f t="shared" si="56"/>
        <v>1</v>
      </c>
      <c r="N117" s="105">
        <f t="shared" si="45"/>
        <v>15</v>
      </c>
      <c r="O117" s="105">
        <f t="shared" si="46"/>
        <v>420</v>
      </c>
      <c r="P117" s="105">
        <f t="shared" si="57"/>
        <v>1</v>
      </c>
      <c r="Q117" s="105">
        <f t="shared" si="58"/>
        <v>15</v>
      </c>
      <c r="R117" s="105">
        <f t="shared" si="47"/>
        <v>420</v>
      </c>
      <c r="S117" s="105">
        <f t="shared" si="59"/>
        <v>1</v>
      </c>
      <c r="T117" s="105">
        <f t="shared" si="60"/>
        <v>15</v>
      </c>
      <c r="U117" s="105">
        <f t="shared" si="22"/>
        <v>392</v>
      </c>
      <c r="V117" s="105">
        <f t="shared" si="48"/>
        <v>1.1499999999999999</v>
      </c>
      <c r="W117" s="105">
        <f t="shared" si="49"/>
        <v>14</v>
      </c>
      <c r="X117" s="105">
        <f t="shared" si="25"/>
        <v>448</v>
      </c>
      <c r="Y117" s="105">
        <f t="shared" si="50"/>
        <v>1.3</v>
      </c>
      <c r="Z117" s="105">
        <f t="shared" si="51"/>
        <v>16</v>
      </c>
      <c r="AA117" s="105">
        <f t="shared" si="62"/>
        <v>1.26</v>
      </c>
    </row>
    <row r="118" spans="1:27" ht="12.75" customHeight="1">
      <c r="A118" s="2"/>
      <c r="B118" s="443" t="str">
        <f t="shared" si="61"/>
        <v>AsXSn 4x70+25</v>
      </c>
      <c r="C118" s="105">
        <f t="shared" si="61"/>
        <v>420</v>
      </c>
      <c r="D118" s="105">
        <f t="shared" si="61"/>
        <v>1</v>
      </c>
      <c r="E118" s="105">
        <f t="shared" si="61"/>
        <v>15</v>
      </c>
      <c r="F118" s="105">
        <f t="shared" si="42"/>
        <v>420</v>
      </c>
      <c r="G118" s="105">
        <f t="shared" si="52"/>
        <v>1</v>
      </c>
      <c r="H118" s="105">
        <f t="shared" si="53"/>
        <v>15</v>
      </c>
      <c r="I118" s="105">
        <f t="shared" si="43"/>
        <v>420</v>
      </c>
      <c r="J118" s="105">
        <f t="shared" si="54"/>
        <v>1</v>
      </c>
      <c r="K118" s="105">
        <f t="shared" si="55"/>
        <v>15</v>
      </c>
      <c r="L118" s="105">
        <f t="shared" si="44"/>
        <v>420</v>
      </c>
      <c r="M118" s="105">
        <f t="shared" si="56"/>
        <v>1</v>
      </c>
      <c r="N118" s="105">
        <f t="shared" si="45"/>
        <v>15</v>
      </c>
      <c r="O118" s="105">
        <f t="shared" si="46"/>
        <v>420</v>
      </c>
      <c r="P118" s="105">
        <f t="shared" si="57"/>
        <v>1</v>
      </c>
      <c r="Q118" s="105">
        <f t="shared" si="58"/>
        <v>15</v>
      </c>
      <c r="R118" s="105">
        <f t="shared" si="47"/>
        <v>420</v>
      </c>
      <c r="S118" s="105">
        <f t="shared" si="59"/>
        <v>1</v>
      </c>
      <c r="T118" s="105">
        <f t="shared" si="60"/>
        <v>15</v>
      </c>
      <c r="U118" s="105">
        <f t="shared" si="22"/>
        <v>420</v>
      </c>
      <c r="V118" s="105">
        <f t="shared" si="48"/>
        <v>1.1499999999999999</v>
      </c>
      <c r="W118" s="105">
        <f t="shared" si="49"/>
        <v>15</v>
      </c>
      <c r="X118" s="105">
        <f t="shared" si="25"/>
        <v>476</v>
      </c>
      <c r="Y118" s="105">
        <f t="shared" si="50"/>
        <v>1.3</v>
      </c>
      <c r="Z118" s="105">
        <f t="shared" si="51"/>
        <v>17</v>
      </c>
      <c r="AA118" s="105">
        <f t="shared" si="62"/>
        <v>1.43</v>
      </c>
    </row>
    <row r="119" spans="1:27" ht="12.75" customHeight="1">
      <c r="A119" s="2"/>
      <c r="B119" s="443" t="str">
        <f t="shared" si="61"/>
        <v>AsXSn 4x70+2x25</v>
      </c>
      <c r="C119" s="105">
        <f t="shared" si="61"/>
        <v>490</v>
      </c>
      <c r="D119" s="105">
        <f t="shared" si="61"/>
        <v>1</v>
      </c>
      <c r="E119" s="105">
        <f t="shared" si="61"/>
        <v>17.5</v>
      </c>
      <c r="F119" s="105">
        <f t="shared" si="42"/>
        <v>490</v>
      </c>
      <c r="G119" s="105">
        <f t="shared" si="52"/>
        <v>1</v>
      </c>
      <c r="H119" s="105">
        <f t="shared" si="53"/>
        <v>17.5</v>
      </c>
      <c r="I119" s="105">
        <f t="shared" si="43"/>
        <v>490</v>
      </c>
      <c r="J119" s="105">
        <f t="shared" si="54"/>
        <v>1</v>
      </c>
      <c r="K119" s="105">
        <f t="shared" si="55"/>
        <v>17.5</v>
      </c>
      <c r="L119" s="105">
        <f t="shared" si="44"/>
        <v>490</v>
      </c>
      <c r="M119" s="105">
        <f t="shared" si="56"/>
        <v>1</v>
      </c>
      <c r="N119" s="105">
        <f t="shared" si="45"/>
        <v>17.5</v>
      </c>
      <c r="O119" s="105">
        <f t="shared" si="46"/>
        <v>490</v>
      </c>
      <c r="P119" s="105">
        <f t="shared" si="57"/>
        <v>1</v>
      </c>
      <c r="Q119" s="105">
        <f t="shared" si="58"/>
        <v>17.5</v>
      </c>
      <c r="R119" s="105">
        <f t="shared" si="47"/>
        <v>490</v>
      </c>
      <c r="S119" s="105">
        <f t="shared" si="59"/>
        <v>1</v>
      </c>
      <c r="T119" s="105">
        <f t="shared" si="60"/>
        <v>17.5</v>
      </c>
      <c r="U119" s="105">
        <f t="shared" si="22"/>
        <v>462</v>
      </c>
      <c r="V119" s="105">
        <f t="shared" si="48"/>
        <v>1.1499999999999999</v>
      </c>
      <c r="W119" s="105">
        <f t="shared" si="49"/>
        <v>16.5</v>
      </c>
      <c r="X119" s="105">
        <f t="shared" si="25"/>
        <v>518</v>
      </c>
      <c r="Y119" s="105">
        <f t="shared" si="50"/>
        <v>1.3</v>
      </c>
      <c r="Z119" s="105">
        <f t="shared" si="51"/>
        <v>18.5</v>
      </c>
      <c r="AA119" s="105">
        <f t="shared" si="62"/>
        <v>1.45</v>
      </c>
    </row>
    <row r="120" spans="1:27" ht="12.75" customHeight="1">
      <c r="A120" s="2"/>
      <c r="B120" s="443" t="str">
        <f t="shared" si="61"/>
        <v>AsXSn 4x70+2x35</v>
      </c>
      <c r="C120" s="105">
        <f t="shared" si="61"/>
        <v>490</v>
      </c>
      <c r="D120" s="105">
        <f t="shared" si="61"/>
        <v>1</v>
      </c>
      <c r="E120" s="105">
        <f t="shared" si="61"/>
        <v>17.5</v>
      </c>
      <c r="F120" s="105">
        <f t="shared" si="42"/>
        <v>490</v>
      </c>
      <c r="G120" s="105">
        <f t="shared" si="52"/>
        <v>1</v>
      </c>
      <c r="H120" s="105">
        <f t="shared" si="53"/>
        <v>17.5</v>
      </c>
      <c r="I120" s="105">
        <f t="shared" si="43"/>
        <v>490</v>
      </c>
      <c r="J120" s="105">
        <f t="shared" si="54"/>
        <v>1</v>
      </c>
      <c r="K120" s="105">
        <f t="shared" si="55"/>
        <v>17.5</v>
      </c>
      <c r="L120" s="105">
        <f t="shared" si="44"/>
        <v>490</v>
      </c>
      <c r="M120" s="105">
        <f t="shared" si="56"/>
        <v>1</v>
      </c>
      <c r="N120" s="105">
        <f t="shared" si="45"/>
        <v>17.5</v>
      </c>
      <c r="O120" s="105">
        <f t="shared" si="46"/>
        <v>490</v>
      </c>
      <c r="P120" s="105">
        <f t="shared" si="57"/>
        <v>1</v>
      </c>
      <c r="Q120" s="105">
        <f t="shared" si="58"/>
        <v>17.5</v>
      </c>
      <c r="R120" s="105">
        <f t="shared" si="47"/>
        <v>490</v>
      </c>
      <c r="S120" s="105">
        <f t="shared" si="59"/>
        <v>1</v>
      </c>
      <c r="T120" s="105">
        <f t="shared" si="60"/>
        <v>17.5</v>
      </c>
      <c r="U120" s="105">
        <f t="shared" si="22"/>
        <v>490</v>
      </c>
      <c r="V120" s="105">
        <f t="shared" si="48"/>
        <v>1.1499999999999999</v>
      </c>
      <c r="W120" s="105">
        <f t="shared" si="49"/>
        <v>17.5</v>
      </c>
      <c r="X120" s="105">
        <f t="shared" si="25"/>
        <v>546</v>
      </c>
      <c r="Y120" s="105">
        <f t="shared" si="50"/>
        <v>1.3</v>
      </c>
      <c r="Z120" s="105">
        <f t="shared" si="51"/>
        <v>19.5</v>
      </c>
      <c r="AA120" s="105">
        <f t="shared" si="62"/>
        <v>1.56</v>
      </c>
    </row>
    <row r="121" spans="1:27" ht="12.75" customHeight="1">
      <c r="A121" s="2"/>
      <c r="B121" s="443" t="str">
        <f t="shared" ref="B121:E140" si="63">B55</f>
        <v>AsXSn 4x70+35</v>
      </c>
      <c r="C121" s="105">
        <f t="shared" si="63"/>
        <v>420</v>
      </c>
      <c r="D121" s="105">
        <f t="shared" si="63"/>
        <v>1</v>
      </c>
      <c r="E121" s="105">
        <f t="shared" si="63"/>
        <v>15</v>
      </c>
      <c r="F121" s="105">
        <f t="shared" si="42"/>
        <v>420</v>
      </c>
      <c r="G121" s="105">
        <f t="shared" si="52"/>
        <v>1</v>
      </c>
      <c r="H121" s="105">
        <f t="shared" si="53"/>
        <v>15</v>
      </c>
      <c r="I121" s="105">
        <f t="shared" si="43"/>
        <v>420</v>
      </c>
      <c r="J121" s="105">
        <f t="shared" si="54"/>
        <v>1</v>
      </c>
      <c r="K121" s="105">
        <f t="shared" si="55"/>
        <v>15</v>
      </c>
      <c r="L121" s="105">
        <f t="shared" si="44"/>
        <v>420</v>
      </c>
      <c r="M121" s="105">
        <f t="shared" si="56"/>
        <v>1</v>
      </c>
      <c r="N121" s="105">
        <f t="shared" si="45"/>
        <v>15</v>
      </c>
      <c r="O121" s="105">
        <f t="shared" si="46"/>
        <v>420</v>
      </c>
      <c r="P121" s="105">
        <f t="shared" si="57"/>
        <v>1</v>
      </c>
      <c r="Q121" s="105">
        <f t="shared" si="58"/>
        <v>15</v>
      </c>
      <c r="R121" s="105">
        <f t="shared" si="47"/>
        <v>420</v>
      </c>
      <c r="S121" s="105">
        <f t="shared" si="59"/>
        <v>1</v>
      </c>
      <c r="T121" s="105">
        <f t="shared" si="60"/>
        <v>15</v>
      </c>
      <c r="U121" s="105">
        <f t="shared" si="22"/>
        <v>434</v>
      </c>
      <c r="V121" s="105">
        <f t="shared" si="48"/>
        <v>1.1499999999999999</v>
      </c>
      <c r="W121" s="105">
        <f t="shared" si="49"/>
        <v>15.5</v>
      </c>
      <c r="X121" s="105">
        <f t="shared" si="25"/>
        <v>490</v>
      </c>
      <c r="Y121" s="105">
        <f t="shared" si="50"/>
        <v>1.3</v>
      </c>
      <c r="Z121" s="105">
        <f t="shared" si="51"/>
        <v>17.5</v>
      </c>
      <c r="AA121" s="105">
        <f t="shared" si="62"/>
        <v>1.41</v>
      </c>
    </row>
    <row r="122" spans="1:27" ht="12.75" customHeight="1">
      <c r="A122" s="2"/>
      <c r="B122" s="443" t="str">
        <f t="shared" si="63"/>
        <v>AsXSn 4x95</v>
      </c>
      <c r="C122" s="105">
        <f t="shared" si="63"/>
        <v>475</v>
      </c>
      <c r="D122" s="105">
        <f t="shared" si="63"/>
        <v>1</v>
      </c>
      <c r="E122" s="105">
        <f t="shared" si="63"/>
        <v>12.5</v>
      </c>
      <c r="F122" s="105">
        <f t="shared" si="42"/>
        <v>475</v>
      </c>
      <c r="G122" s="105">
        <f t="shared" si="52"/>
        <v>1</v>
      </c>
      <c r="H122" s="105">
        <f t="shared" si="53"/>
        <v>12.5</v>
      </c>
      <c r="I122" s="105">
        <f t="shared" si="43"/>
        <v>475</v>
      </c>
      <c r="J122" s="105">
        <f t="shared" si="54"/>
        <v>1</v>
      </c>
      <c r="K122" s="105">
        <f t="shared" si="55"/>
        <v>12.5</v>
      </c>
      <c r="L122" s="105">
        <f t="shared" si="44"/>
        <v>475</v>
      </c>
      <c r="M122" s="105">
        <f t="shared" si="56"/>
        <v>1</v>
      </c>
      <c r="N122" s="105">
        <f t="shared" si="45"/>
        <v>12.5</v>
      </c>
      <c r="O122" s="105">
        <f t="shared" si="46"/>
        <v>475</v>
      </c>
      <c r="P122" s="105">
        <f t="shared" si="57"/>
        <v>1</v>
      </c>
      <c r="Q122" s="105">
        <f t="shared" si="58"/>
        <v>12.5</v>
      </c>
      <c r="R122" s="105">
        <f t="shared" si="47"/>
        <v>475</v>
      </c>
      <c r="S122" s="105">
        <f t="shared" si="59"/>
        <v>1</v>
      </c>
      <c r="T122" s="105">
        <f t="shared" si="60"/>
        <v>12.5</v>
      </c>
      <c r="U122" s="105">
        <f t="shared" si="22"/>
        <v>494</v>
      </c>
      <c r="V122" s="105">
        <f t="shared" si="48"/>
        <v>1.1499999999999999</v>
      </c>
      <c r="W122" s="105">
        <f t="shared" si="49"/>
        <v>13</v>
      </c>
      <c r="X122" s="105">
        <f t="shared" si="25"/>
        <v>551</v>
      </c>
      <c r="Y122" s="105">
        <f t="shared" si="50"/>
        <v>1.3</v>
      </c>
      <c r="Z122" s="105">
        <f t="shared" si="51"/>
        <v>14.5</v>
      </c>
      <c r="AA122" s="105">
        <f t="shared" si="62"/>
        <v>1.45</v>
      </c>
    </row>
    <row r="123" spans="1:27" ht="12.75" customHeight="1">
      <c r="A123" s="2"/>
      <c r="B123" s="443" t="str">
        <f t="shared" si="63"/>
        <v>AsXSn 4x95+25</v>
      </c>
      <c r="C123" s="105">
        <f t="shared" si="63"/>
        <v>475</v>
      </c>
      <c r="D123" s="105">
        <f t="shared" si="63"/>
        <v>1</v>
      </c>
      <c r="E123" s="105">
        <f t="shared" si="63"/>
        <v>12.5</v>
      </c>
      <c r="F123" s="105">
        <f t="shared" si="42"/>
        <v>475</v>
      </c>
      <c r="G123" s="105">
        <f t="shared" si="52"/>
        <v>1</v>
      </c>
      <c r="H123" s="105">
        <f t="shared" si="53"/>
        <v>12.5</v>
      </c>
      <c r="I123" s="105">
        <f t="shared" si="43"/>
        <v>475</v>
      </c>
      <c r="J123" s="105">
        <f t="shared" si="54"/>
        <v>1</v>
      </c>
      <c r="K123" s="105">
        <f t="shared" si="55"/>
        <v>12.5</v>
      </c>
      <c r="L123" s="105">
        <f t="shared" si="44"/>
        <v>475</v>
      </c>
      <c r="M123" s="105">
        <f t="shared" si="56"/>
        <v>1</v>
      </c>
      <c r="N123" s="105">
        <f t="shared" si="45"/>
        <v>12.5</v>
      </c>
      <c r="O123" s="105">
        <f t="shared" si="46"/>
        <v>475</v>
      </c>
      <c r="P123" s="105">
        <f t="shared" si="57"/>
        <v>1</v>
      </c>
      <c r="Q123" s="105">
        <f t="shared" si="58"/>
        <v>12.5</v>
      </c>
      <c r="R123" s="105">
        <f t="shared" si="47"/>
        <v>475</v>
      </c>
      <c r="S123" s="105">
        <f t="shared" si="59"/>
        <v>1</v>
      </c>
      <c r="T123" s="105">
        <f t="shared" si="60"/>
        <v>12.5</v>
      </c>
      <c r="U123" s="105">
        <f t="shared" si="22"/>
        <v>513</v>
      </c>
      <c r="V123" s="105">
        <f t="shared" si="48"/>
        <v>1.1499999999999999</v>
      </c>
      <c r="W123" s="105">
        <f t="shared" si="49"/>
        <v>13.5</v>
      </c>
      <c r="X123" s="105">
        <f t="shared" si="25"/>
        <v>570</v>
      </c>
      <c r="Y123" s="105">
        <f t="shared" si="50"/>
        <v>1.3</v>
      </c>
      <c r="Z123" s="105">
        <f t="shared" si="51"/>
        <v>15</v>
      </c>
      <c r="AA123" s="105">
        <f t="shared" si="62"/>
        <v>1.48</v>
      </c>
    </row>
    <row r="124" spans="1:27" ht="12.75" customHeight="1">
      <c r="A124" s="2"/>
      <c r="B124" s="443" t="str">
        <f t="shared" si="63"/>
        <v>AsXSn 4x95+2x25</v>
      </c>
      <c r="C124" s="105">
        <f t="shared" si="63"/>
        <v>570</v>
      </c>
      <c r="D124" s="105">
        <f t="shared" si="63"/>
        <v>1</v>
      </c>
      <c r="E124" s="105">
        <f t="shared" si="63"/>
        <v>15</v>
      </c>
      <c r="F124" s="105">
        <f t="shared" si="42"/>
        <v>570</v>
      </c>
      <c r="G124" s="105">
        <f t="shared" si="52"/>
        <v>1</v>
      </c>
      <c r="H124" s="105">
        <f t="shared" si="53"/>
        <v>15</v>
      </c>
      <c r="I124" s="105">
        <f t="shared" si="43"/>
        <v>570</v>
      </c>
      <c r="J124" s="105">
        <f t="shared" si="54"/>
        <v>1</v>
      </c>
      <c r="K124" s="105">
        <f t="shared" si="55"/>
        <v>15</v>
      </c>
      <c r="L124" s="105">
        <f t="shared" si="44"/>
        <v>570</v>
      </c>
      <c r="M124" s="105">
        <f t="shared" si="56"/>
        <v>1</v>
      </c>
      <c r="N124" s="105">
        <f t="shared" si="45"/>
        <v>15</v>
      </c>
      <c r="O124" s="105">
        <f t="shared" si="46"/>
        <v>570</v>
      </c>
      <c r="P124" s="105">
        <f t="shared" si="57"/>
        <v>1</v>
      </c>
      <c r="Q124" s="105">
        <f t="shared" si="58"/>
        <v>15</v>
      </c>
      <c r="R124" s="105">
        <f t="shared" si="47"/>
        <v>570</v>
      </c>
      <c r="S124" s="105">
        <f t="shared" si="59"/>
        <v>1</v>
      </c>
      <c r="T124" s="105">
        <f t="shared" si="60"/>
        <v>15</v>
      </c>
      <c r="U124" s="105">
        <f t="shared" si="22"/>
        <v>570</v>
      </c>
      <c r="V124" s="105">
        <f t="shared" si="48"/>
        <v>1.1499999999999999</v>
      </c>
      <c r="W124" s="105">
        <f t="shared" si="49"/>
        <v>15</v>
      </c>
      <c r="X124" s="105">
        <f t="shared" si="25"/>
        <v>627</v>
      </c>
      <c r="Y124" s="105">
        <f t="shared" si="50"/>
        <v>1.3</v>
      </c>
      <c r="Z124" s="105">
        <f t="shared" si="51"/>
        <v>16.5</v>
      </c>
      <c r="AA124" s="105">
        <f t="shared" si="62"/>
        <v>1.69</v>
      </c>
    </row>
    <row r="125" spans="1:27" ht="12.75" customHeight="1">
      <c r="A125" s="2"/>
      <c r="B125" s="443" t="str">
        <f t="shared" si="63"/>
        <v>AsXSn 4x95+2x35</v>
      </c>
      <c r="C125" s="105">
        <f t="shared" si="63"/>
        <v>570</v>
      </c>
      <c r="D125" s="105">
        <f t="shared" si="63"/>
        <v>1</v>
      </c>
      <c r="E125" s="105">
        <f t="shared" si="63"/>
        <v>15</v>
      </c>
      <c r="F125" s="105">
        <f t="shared" si="42"/>
        <v>570</v>
      </c>
      <c r="G125" s="105">
        <f t="shared" si="52"/>
        <v>1</v>
      </c>
      <c r="H125" s="105">
        <f t="shared" si="53"/>
        <v>15</v>
      </c>
      <c r="I125" s="105">
        <f t="shared" si="43"/>
        <v>570</v>
      </c>
      <c r="J125" s="105">
        <f t="shared" si="54"/>
        <v>1</v>
      </c>
      <c r="K125" s="105">
        <f t="shared" si="55"/>
        <v>15</v>
      </c>
      <c r="L125" s="105">
        <f t="shared" si="44"/>
        <v>570</v>
      </c>
      <c r="M125" s="105">
        <f t="shared" si="56"/>
        <v>1</v>
      </c>
      <c r="N125" s="105">
        <f t="shared" si="45"/>
        <v>15</v>
      </c>
      <c r="O125" s="105">
        <f t="shared" si="46"/>
        <v>570</v>
      </c>
      <c r="P125" s="105">
        <f t="shared" si="57"/>
        <v>1</v>
      </c>
      <c r="Q125" s="105">
        <f t="shared" si="58"/>
        <v>15</v>
      </c>
      <c r="R125" s="105">
        <f t="shared" si="47"/>
        <v>570</v>
      </c>
      <c r="S125" s="105">
        <f t="shared" si="59"/>
        <v>1</v>
      </c>
      <c r="T125" s="105">
        <f t="shared" si="60"/>
        <v>15</v>
      </c>
      <c r="U125" s="105">
        <f t="shared" si="22"/>
        <v>589</v>
      </c>
      <c r="V125" s="105">
        <f t="shared" si="48"/>
        <v>1.1499999999999999</v>
      </c>
      <c r="W125" s="105">
        <f t="shared" si="49"/>
        <v>15.5</v>
      </c>
      <c r="X125" s="105">
        <f t="shared" si="25"/>
        <v>665</v>
      </c>
      <c r="Y125" s="105">
        <f t="shared" si="50"/>
        <v>1.3</v>
      </c>
      <c r="Z125" s="105">
        <f t="shared" si="51"/>
        <v>17.5</v>
      </c>
      <c r="AA125" s="105">
        <f t="shared" si="62"/>
        <v>1.81</v>
      </c>
    </row>
    <row r="126" spans="1:27" ht="12.75" customHeight="1">
      <c r="A126" s="2"/>
      <c r="B126" s="443" t="str">
        <f t="shared" si="63"/>
        <v>AsXSn 4x95+35</v>
      </c>
      <c r="C126" s="105">
        <f t="shared" si="63"/>
        <v>475</v>
      </c>
      <c r="D126" s="105">
        <f t="shared" si="63"/>
        <v>1</v>
      </c>
      <c r="E126" s="105">
        <f t="shared" si="63"/>
        <v>12.5</v>
      </c>
      <c r="F126" s="105">
        <f t="shared" si="42"/>
        <v>475</v>
      </c>
      <c r="G126" s="105">
        <f t="shared" si="52"/>
        <v>1</v>
      </c>
      <c r="H126" s="105">
        <f t="shared" si="53"/>
        <v>12.5</v>
      </c>
      <c r="I126" s="105">
        <f t="shared" si="43"/>
        <v>475</v>
      </c>
      <c r="J126" s="105">
        <f t="shared" si="54"/>
        <v>1</v>
      </c>
      <c r="K126" s="105">
        <f t="shared" si="55"/>
        <v>12.5</v>
      </c>
      <c r="L126" s="105">
        <f t="shared" si="44"/>
        <v>475</v>
      </c>
      <c r="M126" s="105">
        <f t="shared" si="56"/>
        <v>1</v>
      </c>
      <c r="N126" s="105">
        <f t="shared" si="45"/>
        <v>12.5</v>
      </c>
      <c r="O126" s="105">
        <f t="shared" si="46"/>
        <v>475</v>
      </c>
      <c r="P126" s="105">
        <f t="shared" si="57"/>
        <v>1</v>
      </c>
      <c r="Q126" s="105">
        <f t="shared" si="58"/>
        <v>12.5</v>
      </c>
      <c r="R126" s="105">
        <f t="shared" si="47"/>
        <v>475</v>
      </c>
      <c r="S126" s="105">
        <f t="shared" si="59"/>
        <v>1</v>
      </c>
      <c r="T126" s="105">
        <f t="shared" si="60"/>
        <v>12.5</v>
      </c>
      <c r="U126" s="105">
        <f t="shared" si="22"/>
        <v>532</v>
      </c>
      <c r="V126" s="105">
        <f t="shared" si="48"/>
        <v>1.1499999999999999</v>
      </c>
      <c r="W126" s="105">
        <f t="shared" si="49"/>
        <v>14</v>
      </c>
      <c r="X126" s="105">
        <f t="shared" si="25"/>
        <v>589</v>
      </c>
      <c r="Y126" s="105">
        <f t="shared" si="50"/>
        <v>1.3</v>
      </c>
      <c r="Z126" s="105">
        <f t="shared" si="51"/>
        <v>15.5</v>
      </c>
      <c r="AA126" s="105">
        <f t="shared" si="62"/>
        <v>1.5</v>
      </c>
    </row>
    <row r="127" spans="1:27" ht="12.75" customHeight="1">
      <c r="A127" s="2"/>
      <c r="B127" s="105" t="s">
        <v>351</v>
      </c>
      <c r="C127" s="272">
        <v>16</v>
      </c>
      <c r="D127" s="272">
        <v>0.63</v>
      </c>
      <c r="E127" s="272">
        <v>5</v>
      </c>
      <c r="F127" s="272">
        <v>32</v>
      </c>
      <c r="G127" s="272">
        <v>0.73</v>
      </c>
      <c r="H127" s="272">
        <v>10</v>
      </c>
      <c r="I127" s="272">
        <v>48</v>
      </c>
      <c r="J127" s="272">
        <v>0.88</v>
      </c>
      <c r="K127" s="272">
        <v>15</v>
      </c>
      <c r="L127" s="272">
        <v>64</v>
      </c>
      <c r="M127" s="287">
        <v>1</v>
      </c>
      <c r="N127" s="272">
        <v>20</v>
      </c>
      <c r="O127" s="272">
        <v>80</v>
      </c>
      <c r="P127" s="287">
        <v>1.18</v>
      </c>
      <c r="Q127" s="272">
        <v>25</v>
      </c>
      <c r="R127" s="272">
        <v>96</v>
      </c>
      <c r="S127" s="287">
        <v>1.33</v>
      </c>
      <c r="T127" s="272">
        <v>30</v>
      </c>
      <c r="U127" s="289">
        <v>96</v>
      </c>
      <c r="V127" s="290">
        <v>1.33</v>
      </c>
      <c r="W127" s="289">
        <v>30</v>
      </c>
      <c r="X127" s="289">
        <v>96</v>
      </c>
      <c r="Y127" s="290">
        <v>1.33</v>
      </c>
      <c r="Z127" s="289">
        <v>30</v>
      </c>
      <c r="AA127" s="272">
        <v>0.502</v>
      </c>
    </row>
    <row r="128" spans="1:27" ht="12.75" customHeight="1">
      <c r="A128" s="2"/>
      <c r="B128" s="105" t="s">
        <v>301</v>
      </c>
      <c r="C128" s="2">
        <v>25</v>
      </c>
      <c r="D128" s="2">
        <v>0.51</v>
      </c>
      <c r="E128" s="2">
        <v>5</v>
      </c>
      <c r="F128" s="2">
        <v>50</v>
      </c>
      <c r="G128" s="2">
        <v>0.6</v>
      </c>
      <c r="H128" s="291">
        <v>10</v>
      </c>
      <c r="I128" s="291">
        <v>50</v>
      </c>
      <c r="J128" s="291">
        <v>1</v>
      </c>
      <c r="K128" s="291">
        <v>10</v>
      </c>
      <c r="L128" s="2">
        <v>100</v>
      </c>
      <c r="M128" s="65">
        <v>0.85</v>
      </c>
      <c r="N128" s="2">
        <v>20</v>
      </c>
      <c r="O128" s="2">
        <v>100</v>
      </c>
      <c r="P128" s="65">
        <v>1.18</v>
      </c>
      <c r="Q128" s="2">
        <v>20</v>
      </c>
      <c r="R128" s="272">
        <v>125</v>
      </c>
      <c r="S128" s="287">
        <v>1.28</v>
      </c>
      <c r="T128" s="272">
        <v>25</v>
      </c>
      <c r="U128" s="289">
        <v>125</v>
      </c>
      <c r="V128" s="290">
        <v>1.28</v>
      </c>
      <c r="W128" s="289">
        <v>25</v>
      </c>
      <c r="X128" s="289">
        <v>125</v>
      </c>
      <c r="Y128" s="290">
        <v>1.28</v>
      </c>
      <c r="Z128" s="289">
        <v>25</v>
      </c>
      <c r="AA128" s="272">
        <v>0.53500000000000003</v>
      </c>
    </row>
    <row r="129" spans="1:27" ht="12.75" customHeight="1">
      <c r="A129" s="2">
        <v>2</v>
      </c>
      <c r="B129" s="105" t="s">
        <v>302</v>
      </c>
      <c r="C129" s="272">
        <v>35</v>
      </c>
      <c r="D129" s="272">
        <v>0.42</v>
      </c>
      <c r="E129" s="272">
        <v>5</v>
      </c>
      <c r="F129" s="272">
        <v>35</v>
      </c>
      <c r="G129" s="272">
        <v>0.9</v>
      </c>
      <c r="H129" s="272">
        <v>5</v>
      </c>
      <c r="I129" s="272">
        <v>70</v>
      </c>
      <c r="J129" s="272">
        <v>0.84</v>
      </c>
      <c r="K129" s="272">
        <v>10</v>
      </c>
      <c r="L129" s="272">
        <v>105</v>
      </c>
      <c r="M129" s="287">
        <v>0.91</v>
      </c>
      <c r="N129" s="272">
        <v>15</v>
      </c>
      <c r="O129" s="272">
        <v>105</v>
      </c>
      <c r="P129" s="287">
        <v>1.26</v>
      </c>
      <c r="Q129" s="272">
        <v>15</v>
      </c>
      <c r="R129" s="272">
        <v>140</v>
      </c>
      <c r="S129" s="287">
        <v>1.31</v>
      </c>
      <c r="T129" s="272">
        <v>20</v>
      </c>
      <c r="U129" s="289">
        <v>140</v>
      </c>
      <c r="V129" s="290">
        <v>1.31</v>
      </c>
      <c r="W129" s="289">
        <v>20</v>
      </c>
      <c r="X129" s="289">
        <v>140</v>
      </c>
      <c r="Y129" s="290">
        <v>1.31</v>
      </c>
      <c r="Z129" s="289">
        <v>20</v>
      </c>
      <c r="AA129" s="272">
        <v>0.60299999999999998</v>
      </c>
    </row>
    <row r="130" spans="1:27" ht="12.75" customHeight="1">
      <c r="A130" s="2">
        <v>3</v>
      </c>
      <c r="B130" s="105" t="s">
        <v>352</v>
      </c>
      <c r="C130" s="272">
        <v>32</v>
      </c>
      <c r="D130" s="272">
        <v>0.43</v>
      </c>
      <c r="E130" s="272">
        <v>5</v>
      </c>
      <c r="F130" s="272">
        <v>32</v>
      </c>
      <c r="G130" s="272">
        <v>0.93</v>
      </c>
      <c r="H130" s="272">
        <v>5</v>
      </c>
      <c r="I130" s="272">
        <v>64</v>
      </c>
      <c r="J130" s="272">
        <v>0.87</v>
      </c>
      <c r="K130" s="272">
        <v>10</v>
      </c>
      <c r="L130" s="272">
        <v>64</v>
      </c>
      <c r="M130" s="287">
        <v>1.3</v>
      </c>
      <c r="N130" s="272">
        <v>10</v>
      </c>
      <c r="O130" s="272">
        <v>96</v>
      </c>
      <c r="P130" s="287">
        <v>1.3</v>
      </c>
      <c r="Q130" s="272">
        <v>15</v>
      </c>
      <c r="R130" s="272">
        <v>128</v>
      </c>
      <c r="S130" s="287">
        <v>1.34</v>
      </c>
      <c r="T130" s="272">
        <v>20</v>
      </c>
      <c r="U130" s="289">
        <v>128</v>
      </c>
      <c r="V130" s="290">
        <v>1.34</v>
      </c>
      <c r="W130" s="289">
        <v>20</v>
      </c>
      <c r="X130" s="289">
        <v>128</v>
      </c>
      <c r="Y130" s="290">
        <v>1.34</v>
      </c>
      <c r="Z130" s="289">
        <v>20</v>
      </c>
      <c r="AA130" s="272">
        <v>1</v>
      </c>
    </row>
    <row r="131" spans="1:27" ht="12.75" customHeight="1">
      <c r="A131" s="2">
        <v>4</v>
      </c>
      <c r="B131" s="105" t="s">
        <v>304</v>
      </c>
      <c r="C131" s="272">
        <v>50</v>
      </c>
      <c r="D131" s="272">
        <v>0.36</v>
      </c>
      <c r="E131" s="272">
        <v>5</v>
      </c>
      <c r="F131" s="272">
        <v>50</v>
      </c>
      <c r="G131" s="272">
        <v>0.75</v>
      </c>
      <c r="H131" s="272">
        <v>5</v>
      </c>
      <c r="I131" s="272">
        <v>100</v>
      </c>
      <c r="J131" s="272">
        <v>0.72</v>
      </c>
      <c r="K131" s="272">
        <v>10</v>
      </c>
      <c r="L131" s="272">
        <v>100</v>
      </c>
      <c r="M131" s="287">
        <v>1</v>
      </c>
      <c r="N131" s="272">
        <v>10</v>
      </c>
      <c r="O131" s="272">
        <v>150</v>
      </c>
      <c r="P131" s="287">
        <v>1.07</v>
      </c>
      <c r="Q131" s="272">
        <v>15</v>
      </c>
      <c r="R131" s="272">
        <v>150</v>
      </c>
      <c r="S131" s="287">
        <v>1.41</v>
      </c>
      <c r="T131" s="272">
        <v>15</v>
      </c>
      <c r="U131" s="289">
        <v>150</v>
      </c>
      <c r="V131" s="290">
        <v>1.41</v>
      </c>
      <c r="W131" s="289">
        <v>15</v>
      </c>
      <c r="X131" s="289">
        <v>150</v>
      </c>
      <c r="Y131" s="290">
        <v>1.41</v>
      </c>
      <c r="Z131" s="289">
        <v>15</v>
      </c>
      <c r="AA131" s="272">
        <v>1.1040000000000001</v>
      </c>
    </row>
    <row r="132" spans="1:27" ht="12.75" customHeight="1">
      <c r="A132" s="2">
        <v>5</v>
      </c>
      <c r="B132" s="105" t="s">
        <v>305</v>
      </c>
      <c r="C132" s="272">
        <v>70</v>
      </c>
      <c r="D132" s="272">
        <v>0.32</v>
      </c>
      <c r="E132" s="272">
        <v>5</v>
      </c>
      <c r="F132" s="272">
        <v>70</v>
      </c>
      <c r="G132" s="272">
        <v>0.64</v>
      </c>
      <c r="H132" s="272">
        <v>5</v>
      </c>
      <c r="I132" s="272">
        <v>140</v>
      </c>
      <c r="J132" s="272">
        <v>0.63</v>
      </c>
      <c r="K132" s="272">
        <v>10</v>
      </c>
      <c r="L132" s="272">
        <v>140</v>
      </c>
      <c r="M132" s="287">
        <v>0.93</v>
      </c>
      <c r="N132" s="272">
        <v>10</v>
      </c>
      <c r="O132" s="272">
        <v>210</v>
      </c>
      <c r="P132" s="287">
        <v>0.94</v>
      </c>
      <c r="Q132" s="272">
        <v>15</v>
      </c>
      <c r="R132" s="272">
        <v>210</v>
      </c>
      <c r="S132" s="287">
        <v>1.22</v>
      </c>
      <c r="T132" s="272">
        <v>15</v>
      </c>
      <c r="U132" s="289">
        <v>210</v>
      </c>
      <c r="V132" s="290">
        <v>1.22</v>
      </c>
      <c r="W132" s="289">
        <v>15</v>
      </c>
      <c r="X132" s="289">
        <v>210</v>
      </c>
      <c r="Y132" s="290">
        <v>1.22</v>
      </c>
      <c r="Z132" s="289">
        <v>15</v>
      </c>
      <c r="AA132" s="272">
        <v>1.304</v>
      </c>
    </row>
    <row r="133" spans="1:27" ht="12.75" customHeight="1">
      <c r="A133" s="2"/>
      <c r="B133" s="105" t="s">
        <v>353</v>
      </c>
      <c r="C133" s="289">
        <v>16</v>
      </c>
      <c r="D133" s="289">
        <v>0.7</v>
      </c>
      <c r="E133" s="289">
        <v>5</v>
      </c>
      <c r="F133" s="289">
        <v>32</v>
      </c>
      <c r="G133" s="289">
        <v>0.7</v>
      </c>
      <c r="H133" s="289">
        <v>10</v>
      </c>
      <c r="I133" s="289">
        <v>48</v>
      </c>
      <c r="J133" s="289">
        <v>0.8</v>
      </c>
      <c r="K133" s="289">
        <v>15</v>
      </c>
      <c r="L133" s="289">
        <v>64</v>
      </c>
      <c r="M133" s="290">
        <v>1</v>
      </c>
      <c r="N133" s="289">
        <v>20</v>
      </c>
      <c r="O133" s="289">
        <v>80</v>
      </c>
      <c r="P133" s="290">
        <v>1</v>
      </c>
      <c r="Q133" s="289">
        <v>25</v>
      </c>
      <c r="R133" s="272">
        <v>96</v>
      </c>
      <c r="S133" s="287">
        <v>1</v>
      </c>
      <c r="T133" s="272">
        <v>30</v>
      </c>
      <c r="U133" s="289"/>
      <c r="V133" s="290"/>
      <c r="W133" s="289"/>
      <c r="X133" s="289"/>
      <c r="Y133" s="290"/>
      <c r="Z133" s="289"/>
      <c r="AA133" s="272">
        <v>0.72</v>
      </c>
    </row>
    <row r="134" spans="1:27" ht="12.75" customHeight="1">
      <c r="A134" s="2">
        <v>6</v>
      </c>
      <c r="B134" s="105" t="s">
        <v>317</v>
      </c>
      <c r="C134" s="289">
        <v>73</v>
      </c>
      <c r="D134" s="289">
        <v>0.7</v>
      </c>
      <c r="E134" s="289">
        <v>14.5</v>
      </c>
      <c r="F134" s="289">
        <v>73</v>
      </c>
      <c r="G134" s="289">
        <v>0.7</v>
      </c>
      <c r="H134" s="289">
        <v>14.5</v>
      </c>
      <c r="I134" s="289">
        <v>73</v>
      </c>
      <c r="J134" s="289">
        <v>0.7</v>
      </c>
      <c r="K134" s="289">
        <v>14.5</v>
      </c>
      <c r="L134" s="289">
        <v>80</v>
      </c>
      <c r="M134" s="290">
        <v>1</v>
      </c>
      <c r="N134" s="289">
        <v>16</v>
      </c>
      <c r="O134" s="289">
        <v>115</v>
      </c>
      <c r="P134" s="290">
        <v>1</v>
      </c>
      <c r="Q134" s="289">
        <v>23</v>
      </c>
      <c r="R134" s="272">
        <v>163</v>
      </c>
      <c r="S134" s="287">
        <v>1</v>
      </c>
      <c r="T134" s="272">
        <v>32.5</v>
      </c>
      <c r="U134" s="289">
        <v>163</v>
      </c>
      <c r="V134" s="290">
        <v>1</v>
      </c>
      <c r="W134" s="289">
        <v>32.5</v>
      </c>
      <c r="X134" s="289">
        <v>163</v>
      </c>
      <c r="Y134" s="290">
        <v>1</v>
      </c>
      <c r="Z134" s="289">
        <v>32.5</v>
      </c>
      <c r="AA134" s="272">
        <v>0.72</v>
      </c>
    </row>
    <row r="135" spans="1:27" ht="12.75" customHeight="1">
      <c r="A135" s="2">
        <v>7</v>
      </c>
      <c r="B135" s="105" t="s">
        <v>318</v>
      </c>
      <c r="C135" s="289">
        <v>82</v>
      </c>
      <c r="D135" s="289">
        <v>0.7</v>
      </c>
      <c r="E135" s="289">
        <v>11.5</v>
      </c>
      <c r="F135" s="289">
        <v>82</v>
      </c>
      <c r="G135" s="289">
        <v>0.7</v>
      </c>
      <c r="H135" s="289">
        <v>11.5</v>
      </c>
      <c r="I135" s="289">
        <v>82</v>
      </c>
      <c r="J135" s="289">
        <v>0.7</v>
      </c>
      <c r="K135" s="289">
        <v>11.5</v>
      </c>
      <c r="L135" s="289">
        <v>90</v>
      </c>
      <c r="M135" s="290">
        <v>1</v>
      </c>
      <c r="N135" s="289">
        <v>13</v>
      </c>
      <c r="O135" s="289">
        <v>130</v>
      </c>
      <c r="P135" s="290">
        <v>1</v>
      </c>
      <c r="Q135" s="289">
        <v>18</v>
      </c>
      <c r="R135" s="272">
        <v>193</v>
      </c>
      <c r="S135" s="287">
        <v>1</v>
      </c>
      <c r="T135" s="272">
        <v>27.5</v>
      </c>
      <c r="U135" s="289">
        <v>193</v>
      </c>
      <c r="V135" s="290">
        <v>1</v>
      </c>
      <c r="W135" s="289">
        <v>27.5</v>
      </c>
      <c r="X135" s="289">
        <v>193</v>
      </c>
      <c r="Y135" s="290">
        <v>1</v>
      </c>
      <c r="Z135" s="289">
        <v>27.5</v>
      </c>
      <c r="AA135" s="272">
        <v>0.8</v>
      </c>
    </row>
    <row r="136" spans="1:27" ht="12.75" customHeight="1">
      <c r="A136" s="2"/>
      <c r="B136" s="105" t="s">
        <v>354</v>
      </c>
      <c r="C136" s="289">
        <v>32</v>
      </c>
      <c r="D136" s="289">
        <v>0.7</v>
      </c>
      <c r="E136" s="289">
        <v>5</v>
      </c>
      <c r="F136" s="289">
        <v>32</v>
      </c>
      <c r="G136" s="289">
        <v>0.7</v>
      </c>
      <c r="H136" s="289">
        <v>5</v>
      </c>
      <c r="I136" s="289">
        <v>64</v>
      </c>
      <c r="J136" s="289">
        <v>0.8</v>
      </c>
      <c r="K136" s="289">
        <v>10</v>
      </c>
      <c r="L136" s="289">
        <v>64</v>
      </c>
      <c r="M136" s="290">
        <v>1</v>
      </c>
      <c r="N136" s="289">
        <v>10</v>
      </c>
      <c r="O136" s="289">
        <v>96</v>
      </c>
      <c r="P136" s="290">
        <v>1</v>
      </c>
      <c r="Q136" s="289">
        <v>15</v>
      </c>
      <c r="R136" s="272">
        <v>128</v>
      </c>
      <c r="S136" s="287">
        <v>1</v>
      </c>
      <c r="T136" s="272">
        <v>20</v>
      </c>
      <c r="U136" s="289"/>
      <c r="V136" s="290"/>
      <c r="W136" s="289"/>
      <c r="X136" s="289"/>
      <c r="Y136" s="290"/>
      <c r="Z136" s="289"/>
      <c r="AA136" s="272">
        <v>0.87</v>
      </c>
    </row>
    <row r="137" spans="1:27" ht="12.75" customHeight="1">
      <c r="A137" s="2">
        <v>8</v>
      </c>
      <c r="B137" s="105" t="s">
        <v>323</v>
      </c>
      <c r="C137" s="289">
        <v>97</v>
      </c>
      <c r="D137" s="289">
        <v>0.7</v>
      </c>
      <c r="E137" s="289">
        <v>10</v>
      </c>
      <c r="F137" s="289">
        <v>97</v>
      </c>
      <c r="G137" s="289">
        <v>0.7</v>
      </c>
      <c r="H137" s="289">
        <v>10</v>
      </c>
      <c r="I137" s="289">
        <v>97</v>
      </c>
      <c r="J137" s="289">
        <v>0.7</v>
      </c>
      <c r="K137" s="289">
        <v>10</v>
      </c>
      <c r="L137" s="289">
        <v>106</v>
      </c>
      <c r="M137" s="290">
        <v>1</v>
      </c>
      <c r="N137" s="289">
        <v>11</v>
      </c>
      <c r="O137" s="289">
        <v>153</v>
      </c>
      <c r="P137" s="290">
        <v>1</v>
      </c>
      <c r="Q137" s="289">
        <v>16</v>
      </c>
      <c r="R137" s="272">
        <v>225</v>
      </c>
      <c r="S137" s="287">
        <v>1</v>
      </c>
      <c r="T137" s="272">
        <v>22.5</v>
      </c>
      <c r="U137" s="289">
        <v>225</v>
      </c>
      <c r="V137" s="290">
        <v>1</v>
      </c>
      <c r="W137" s="289">
        <v>22.5</v>
      </c>
      <c r="X137" s="289">
        <v>225</v>
      </c>
      <c r="Y137" s="290">
        <v>1</v>
      </c>
      <c r="Z137" s="289">
        <v>22.5</v>
      </c>
      <c r="AA137" s="272">
        <v>0.87</v>
      </c>
    </row>
    <row r="138" spans="1:27" ht="12.75" customHeight="1">
      <c r="A138" s="2">
        <v>9</v>
      </c>
      <c r="B138" s="105" t="s">
        <v>324</v>
      </c>
      <c r="C138" s="289">
        <v>112</v>
      </c>
      <c r="D138" s="289">
        <v>0.7</v>
      </c>
      <c r="E138" s="289">
        <v>8</v>
      </c>
      <c r="F138" s="289">
        <v>112</v>
      </c>
      <c r="G138" s="289">
        <v>0.7</v>
      </c>
      <c r="H138" s="289">
        <v>8</v>
      </c>
      <c r="I138" s="289">
        <v>112</v>
      </c>
      <c r="J138" s="289">
        <v>0.7</v>
      </c>
      <c r="K138" s="289">
        <v>8</v>
      </c>
      <c r="L138" s="289">
        <v>123</v>
      </c>
      <c r="M138" s="290">
        <v>1</v>
      </c>
      <c r="N138" s="289">
        <v>9</v>
      </c>
      <c r="O138" s="289">
        <v>176</v>
      </c>
      <c r="P138" s="290">
        <v>1</v>
      </c>
      <c r="Q138" s="289">
        <v>13</v>
      </c>
      <c r="R138" s="272">
        <v>280</v>
      </c>
      <c r="S138" s="287">
        <v>1</v>
      </c>
      <c r="T138" s="272">
        <v>20</v>
      </c>
      <c r="U138" s="289">
        <v>280</v>
      </c>
      <c r="V138" s="290">
        <v>1</v>
      </c>
      <c r="W138" s="289">
        <v>20</v>
      </c>
      <c r="X138" s="289">
        <v>280</v>
      </c>
      <c r="Y138" s="290">
        <v>1</v>
      </c>
      <c r="Z138" s="289">
        <v>20</v>
      </c>
      <c r="AA138" s="272">
        <v>0.96</v>
      </c>
    </row>
    <row r="139" spans="1:27" ht="12.75" customHeight="1">
      <c r="A139" s="2">
        <v>10</v>
      </c>
      <c r="B139" s="288" t="s">
        <v>342</v>
      </c>
      <c r="C139" s="272">
        <v>21.5</v>
      </c>
      <c r="D139" s="272">
        <v>0.2</v>
      </c>
      <c r="E139" s="272">
        <v>49.1</v>
      </c>
      <c r="F139" s="289">
        <v>32.299999999999997</v>
      </c>
      <c r="G139" s="289">
        <v>0.3</v>
      </c>
      <c r="H139" s="289">
        <v>73.7</v>
      </c>
      <c r="I139" s="289">
        <v>42.9</v>
      </c>
      <c r="J139" s="289">
        <v>0.4</v>
      </c>
      <c r="K139" s="289">
        <v>98.2</v>
      </c>
      <c r="L139" s="272">
        <v>53.7</v>
      </c>
      <c r="M139" s="272">
        <v>0.5</v>
      </c>
      <c r="N139" s="272">
        <v>122.8</v>
      </c>
      <c r="O139" s="289">
        <v>64.400000000000006</v>
      </c>
      <c r="P139" s="290">
        <v>0.6</v>
      </c>
      <c r="Q139" s="289">
        <v>147.30000000000001</v>
      </c>
      <c r="R139" s="289">
        <v>75.2</v>
      </c>
      <c r="S139" s="287">
        <v>0.7</v>
      </c>
      <c r="T139" s="272">
        <v>171.9</v>
      </c>
      <c r="U139" s="289">
        <v>85.9</v>
      </c>
      <c r="V139" s="287">
        <v>0.8</v>
      </c>
      <c r="W139" s="272">
        <v>196.4</v>
      </c>
      <c r="X139" s="289">
        <v>96.7</v>
      </c>
      <c r="Y139" s="287">
        <v>0.9</v>
      </c>
      <c r="Z139" s="272">
        <v>221</v>
      </c>
      <c r="AA139" s="272">
        <v>0.32400000000000001</v>
      </c>
    </row>
    <row r="140" spans="1:27" ht="12.75" customHeight="1">
      <c r="A140" s="2">
        <v>11</v>
      </c>
      <c r="B140" s="288" t="s">
        <v>343</v>
      </c>
      <c r="C140" s="272">
        <v>31.1</v>
      </c>
      <c r="D140" s="272">
        <v>0.2</v>
      </c>
      <c r="E140" s="272">
        <v>71.099999999999994</v>
      </c>
      <c r="F140" s="289">
        <v>46.6</v>
      </c>
      <c r="G140" s="289">
        <v>0.3</v>
      </c>
      <c r="H140" s="289">
        <v>106.6</v>
      </c>
      <c r="I140" s="289">
        <v>62.2</v>
      </c>
      <c r="J140" s="289">
        <v>0.4</v>
      </c>
      <c r="K140" s="289">
        <v>142.1</v>
      </c>
      <c r="L140" s="272">
        <v>77.7</v>
      </c>
      <c r="M140" s="272">
        <v>0.5</v>
      </c>
      <c r="N140" s="272">
        <v>177.7</v>
      </c>
      <c r="O140" s="289">
        <v>93.3</v>
      </c>
      <c r="P140" s="290">
        <v>0.6</v>
      </c>
      <c r="Q140" s="289">
        <v>213.2</v>
      </c>
      <c r="R140" s="289">
        <v>108.8</v>
      </c>
      <c r="S140" s="287">
        <v>0.7</v>
      </c>
      <c r="T140" s="272">
        <v>248.7</v>
      </c>
      <c r="U140" s="289">
        <v>124.4</v>
      </c>
      <c r="V140" s="287">
        <v>0.8</v>
      </c>
      <c r="W140" s="272">
        <v>284.3</v>
      </c>
      <c r="X140" s="289">
        <v>139.9</v>
      </c>
      <c r="Y140" s="287">
        <v>0.9</v>
      </c>
      <c r="Z140" s="272">
        <v>319.8</v>
      </c>
      <c r="AA140" s="272">
        <v>0.51800000000000002</v>
      </c>
    </row>
    <row r="141" spans="1:27" ht="12.75" customHeight="1">
      <c r="C141" s="2"/>
      <c r="D141" s="2"/>
      <c r="E141" s="2"/>
      <c r="L141" s="2"/>
      <c r="M141" s="2"/>
      <c r="N141" s="2"/>
      <c r="R141" s="2"/>
    </row>
    <row r="142" spans="1:27" ht="12.75" customHeight="1">
      <c r="C142" s="2"/>
      <c r="D142" s="2"/>
      <c r="E142" s="2"/>
      <c r="L142" s="2"/>
      <c r="M142" s="2"/>
      <c r="N142" s="2"/>
      <c r="R142" s="2"/>
    </row>
    <row r="143" spans="1:27" ht="12.75" customHeight="1">
      <c r="C143" s="2"/>
      <c r="D143" s="2"/>
      <c r="E143" s="2"/>
      <c r="L143" s="2"/>
      <c r="M143" s="2"/>
      <c r="N143" s="2"/>
      <c r="R143" s="2"/>
    </row>
    <row r="144" spans="1:27" ht="12.75" customHeight="1">
      <c r="C144" s="2">
        <f t="shared" ref="C144:C145" si="64">ROUND(C139*0.625,1)</f>
        <v>13.4</v>
      </c>
      <c r="D144" s="2"/>
      <c r="E144" s="2"/>
      <c r="F144" s="2">
        <f t="shared" ref="F144:F145" si="65">ROUND(F139*0.625,1)</f>
        <v>20.2</v>
      </c>
      <c r="G144" s="2"/>
      <c r="H144" s="2"/>
      <c r="I144" s="2">
        <f t="shared" ref="I144:I145" si="66">ROUND(I139*0.625,1)</f>
        <v>26.8</v>
      </c>
      <c r="J144" s="2"/>
      <c r="K144" s="2"/>
      <c r="L144" s="2">
        <f t="shared" ref="L144:L145" si="67">ROUND(L139*0.625,1)</f>
        <v>33.6</v>
      </c>
      <c r="M144" s="2"/>
      <c r="N144" s="2"/>
      <c r="O144" s="2">
        <f t="shared" ref="O144:O145" si="68">ROUND(O139*0.625,1)</f>
        <v>40.299999999999997</v>
      </c>
      <c r="P144" s="2"/>
      <c r="Q144" s="2"/>
      <c r="R144" s="2">
        <f t="shared" ref="R144:R145" si="69">ROUND(R139*0.625,1)</f>
        <v>47</v>
      </c>
      <c r="S144" s="2"/>
      <c r="T144" s="2"/>
      <c r="U144" s="2">
        <f t="shared" ref="U144:U145" si="70">ROUND(U139*0.625,1)</f>
        <v>53.7</v>
      </c>
      <c r="V144" s="2"/>
      <c r="W144" s="2"/>
      <c r="X144" s="2">
        <f t="shared" ref="X144:X145" si="71">X139*0.625</f>
        <v>60.4375</v>
      </c>
      <c r="Y144" s="2"/>
      <c r="Z144" s="2"/>
    </row>
    <row r="145" spans="3:24" ht="12.75" customHeight="1">
      <c r="C145" s="2">
        <f t="shared" si="64"/>
        <v>19.399999999999999</v>
      </c>
      <c r="D145" s="2"/>
      <c r="E145" s="2"/>
      <c r="F145" s="2">
        <f t="shared" si="65"/>
        <v>29.1</v>
      </c>
      <c r="I145" s="2">
        <f t="shared" si="66"/>
        <v>38.9</v>
      </c>
      <c r="L145" s="2">
        <f t="shared" si="67"/>
        <v>48.6</v>
      </c>
      <c r="M145" s="2"/>
      <c r="N145" s="2"/>
      <c r="O145" s="2">
        <f t="shared" si="68"/>
        <v>58.3</v>
      </c>
      <c r="R145" s="2">
        <f t="shared" si="69"/>
        <v>68</v>
      </c>
      <c r="U145" s="2">
        <f t="shared" si="70"/>
        <v>77.8</v>
      </c>
      <c r="X145" s="2">
        <f t="shared" si="71"/>
        <v>87.4375</v>
      </c>
    </row>
    <row r="146" spans="3:24" ht="12.75" customHeight="1">
      <c r="C146" s="2"/>
      <c r="D146" s="2"/>
      <c r="E146" s="2"/>
      <c r="L146" s="2"/>
      <c r="M146" s="2"/>
      <c r="N146" s="2"/>
      <c r="R146" s="2"/>
    </row>
    <row r="147" spans="3:24" ht="12.75" customHeight="1">
      <c r="C147" s="2"/>
      <c r="D147" s="2"/>
      <c r="E147" s="2"/>
      <c r="L147" s="2"/>
      <c r="M147" s="2"/>
      <c r="N147" s="2"/>
      <c r="R147" s="2"/>
    </row>
    <row r="148" spans="3:24" ht="12.75" customHeight="1">
      <c r="C148" s="2"/>
      <c r="D148" s="2"/>
      <c r="E148" s="2"/>
      <c r="L148" s="2"/>
      <c r="M148" s="2"/>
      <c r="N148" s="2"/>
      <c r="R148" s="2"/>
    </row>
    <row r="149" spans="3:24" ht="12.75" customHeight="1">
      <c r="C149" s="2"/>
      <c r="D149" s="2"/>
      <c r="E149" s="2"/>
      <c r="L149" s="2"/>
      <c r="M149" s="2"/>
      <c r="N149" s="2"/>
      <c r="R149" s="2"/>
    </row>
    <row r="150" spans="3:24" ht="12.75" customHeight="1">
      <c r="C150" s="2">
        <f>ROUNDUP(E154,2)</f>
        <v>0</v>
      </c>
      <c r="D150" s="2"/>
      <c r="E150" s="2"/>
      <c r="L150" s="2"/>
      <c r="M150" s="2"/>
      <c r="N150" s="2"/>
      <c r="R150" s="2"/>
    </row>
    <row r="151" spans="3:24" ht="12.75" customHeight="1">
      <c r="C151" s="2"/>
      <c r="D151" s="2"/>
      <c r="E151" s="2"/>
      <c r="L151" s="2"/>
      <c r="M151" s="2"/>
      <c r="N151" s="2"/>
      <c r="R151" s="2"/>
    </row>
    <row r="152" spans="3:24" ht="12.75" customHeight="1">
      <c r="C152" s="2"/>
      <c r="D152" s="2"/>
      <c r="E152" s="2"/>
      <c r="L152" s="2"/>
      <c r="M152" s="2"/>
      <c r="N152" s="2"/>
      <c r="R152" s="2"/>
    </row>
    <row r="153" spans="3:24" ht="12.75" customHeight="1">
      <c r="C153" s="2"/>
      <c r="D153" s="2"/>
      <c r="E153" s="2"/>
      <c r="L153" s="2"/>
      <c r="M153" s="2"/>
      <c r="N153" s="2"/>
      <c r="R153" s="2"/>
    </row>
    <row r="154" spans="3:24" ht="12.75" customHeight="1">
      <c r="C154" s="2"/>
      <c r="D154" s="2"/>
      <c r="E154" s="2"/>
      <c r="L154" s="2"/>
      <c r="M154" s="2"/>
      <c r="N154" s="2"/>
      <c r="R154" s="2"/>
    </row>
    <row r="155" spans="3:24" ht="12.75" customHeight="1">
      <c r="C155" s="2"/>
      <c r="D155" s="2"/>
      <c r="E155" s="2"/>
      <c r="L155" s="2"/>
      <c r="M155" s="2"/>
      <c r="N155" s="2"/>
      <c r="R155" s="2"/>
    </row>
    <row r="156" spans="3:24" ht="12.75" customHeight="1">
      <c r="C156" s="2"/>
      <c r="D156" s="2"/>
      <c r="E156" s="2"/>
      <c r="L156" s="2"/>
      <c r="M156" s="2"/>
      <c r="N156" s="2"/>
      <c r="R156" s="2"/>
    </row>
    <row r="157" spans="3:24" ht="12.75" customHeight="1">
      <c r="C157" s="2">
        <v>1</v>
      </c>
      <c r="D157" s="2">
        <v>2</v>
      </c>
      <c r="E157" s="2"/>
      <c r="L157" s="2"/>
      <c r="M157" s="2"/>
      <c r="N157" s="2"/>
      <c r="R157" s="2"/>
    </row>
  </sheetData>
  <mergeCells count="16">
    <mergeCell ref="B1:R1"/>
    <mergeCell ref="B65:Z65"/>
    <mergeCell ref="C3:E3"/>
    <mergeCell ref="F3:H3"/>
    <mergeCell ref="I3:K3"/>
    <mergeCell ref="C2:G2"/>
    <mergeCell ref="L3:N3"/>
    <mergeCell ref="O3:Q3"/>
    <mergeCell ref="C67:E67"/>
    <mergeCell ref="F67:H67"/>
    <mergeCell ref="I67:K67"/>
    <mergeCell ref="L67:N67"/>
    <mergeCell ref="X67:Z67"/>
    <mergeCell ref="U67:W67"/>
    <mergeCell ref="O67:Q67"/>
    <mergeCell ref="R67:T67"/>
  </mergeCells>
  <pageMargins left="0.7" right="0.7" top="0.75" bottom="0.75" header="0" footer="0"/>
  <pageSetup paperSize="9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59"/>
  <sheetViews>
    <sheetView tabSelected="1" topLeftCell="A76" zoomScale="175" zoomScaleNormal="175" workbookViewId="0">
      <selection activeCell="A87" sqref="A87"/>
    </sheetView>
  </sheetViews>
  <sheetFormatPr defaultColWidth="14.42578125" defaultRowHeight="15" customHeight="1"/>
  <cols>
    <col min="1" max="1" width="15.5703125" customWidth="1"/>
    <col min="2" max="2" width="7.42578125" customWidth="1"/>
    <col min="3" max="3" width="10.140625" customWidth="1"/>
    <col min="4" max="4" width="9.42578125" customWidth="1"/>
    <col min="5" max="8" width="8.85546875" customWidth="1"/>
    <col min="9" max="10" width="8.7109375" customWidth="1"/>
    <col min="11" max="11" width="12.42578125" customWidth="1"/>
    <col min="12" max="13" width="8.7109375" customWidth="1"/>
    <col min="14" max="14" width="13.42578125" customWidth="1"/>
    <col min="15" max="15" width="12.85546875" customWidth="1"/>
    <col min="16" max="19" width="8.7109375" customWidth="1"/>
  </cols>
  <sheetData>
    <row r="1" spans="1:10" ht="12.75" customHeight="1">
      <c r="A1" s="292" t="s">
        <v>355</v>
      </c>
      <c r="B1" s="292"/>
      <c r="C1" s="292"/>
      <c r="D1" s="292"/>
      <c r="E1" s="292"/>
      <c r="F1" s="292"/>
      <c r="G1" s="292"/>
      <c r="H1" s="51"/>
      <c r="I1" t="s">
        <v>356</v>
      </c>
      <c r="J1" t="s">
        <v>357</v>
      </c>
    </row>
    <row r="2" spans="1:10" ht="12.75" customHeight="1">
      <c r="A2" s="293" t="s">
        <v>358</v>
      </c>
      <c r="B2" s="293" t="s">
        <v>359</v>
      </c>
      <c r="C2" s="293" t="s">
        <v>360</v>
      </c>
      <c r="D2" s="293" t="s">
        <v>361</v>
      </c>
      <c r="E2" s="293" t="s">
        <v>362</v>
      </c>
      <c r="F2" s="293" t="s">
        <v>363</v>
      </c>
      <c r="G2" s="293" t="s">
        <v>364</v>
      </c>
      <c r="H2" s="51"/>
      <c r="I2" t="s">
        <v>365</v>
      </c>
      <c r="J2" t="s">
        <v>366</v>
      </c>
    </row>
    <row r="3" spans="1:10" ht="12.75" customHeight="1">
      <c r="A3" s="294" t="s">
        <v>605</v>
      </c>
      <c r="B3" s="295">
        <v>1000</v>
      </c>
      <c r="C3" s="295">
        <v>1000</v>
      </c>
      <c r="D3" s="295">
        <v>50</v>
      </c>
      <c r="E3" s="295">
        <v>50</v>
      </c>
      <c r="F3" s="295">
        <v>60</v>
      </c>
      <c r="G3" s="296">
        <v>60</v>
      </c>
      <c r="H3" s="51"/>
      <c r="I3" t="s">
        <v>367</v>
      </c>
      <c r="J3" t="s">
        <v>368</v>
      </c>
    </row>
    <row r="4" spans="1:10" ht="12.75" customHeight="1">
      <c r="A4" s="151" t="s">
        <v>606</v>
      </c>
      <c r="B4" s="297">
        <v>2000</v>
      </c>
      <c r="C4" s="297">
        <v>2000</v>
      </c>
      <c r="D4" s="297">
        <v>100</v>
      </c>
      <c r="E4" s="297">
        <v>100</v>
      </c>
      <c r="F4" s="297">
        <v>120</v>
      </c>
      <c r="G4" s="298">
        <v>120</v>
      </c>
      <c r="H4" s="51"/>
      <c r="I4" t="s">
        <v>369</v>
      </c>
      <c r="J4" t="s">
        <v>370</v>
      </c>
    </row>
    <row r="5" spans="1:10" ht="12.75" customHeight="1">
      <c r="A5" s="151" t="s">
        <v>607</v>
      </c>
      <c r="B5" s="299">
        <v>1200</v>
      </c>
      <c r="C5" s="299">
        <v>1200</v>
      </c>
      <c r="D5" s="299">
        <v>50</v>
      </c>
      <c r="E5" s="299">
        <v>50</v>
      </c>
      <c r="F5" s="299">
        <v>60</v>
      </c>
      <c r="G5" s="300">
        <v>60</v>
      </c>
      <c r="H5" s="51"/>
      <c r="I5" t="s">
        <v>371</v>
      </c>
      <c r="J5" t="s">
        <v>372</v>
      </c>
    </row>
    <row r="6" spans="1:10" ht="12.75" customHeight="1">
      <c r="A6" s="151" t="s">
        <v>608</v>
      </c>
      <c r="B6" s="299">
        <v>1350</v>
      </c>
      <c r="C6" s="299">
        <v>1350</v>
      </c>
      <c r="D6" s="299">
        <v>50</v>
      </c>
      <c r="E6" s="299">
        <v>50</v>
      </c>
      <c r="F6" s="299">
        <v>60</v>
      </c>
      <c r="G6" s="300">
        <v>60</v>
      </c>
      <c r="H6" s="51"/>
      <c r="I6" t="s">
        <v>373</v>
      </c>
      <c r="J6" t="s">
        <v>374</v>
      </c>
    </row>
    <row r="7" spans="1:10" ht="12.75" customHeight="1">
      <c r="A7" s="151" t="s">
        <v>609</v>
      </c>
      <c r="B7" s="299">
        <v>1500</v>
      </c>
      <c r="C7" s="299">
        <v>1500</v>
      </c>
      <c r="D7" s="299">
        <v>60</v>
      </c>
      <c r="E7" s="299">
        <v>60</v>
      </c>
      <c r="F7" s="299">
        <v>70</v>
      </c>
      <c r="G7" s="300">
        <v>70</v>
      </c>
      <c r="H7" s="51"/>
      <c r="I7" t="s">
        <v>375</v>
      </c>
      <c r="J7" t="s">
        <v>376</v>
      </c>
    </row>
    <row r="8" spans="1:10" ht="12.75" customHeight="1">
      <c r="A8" s="151" t="s">
        <v>610</v>
      </c>
      <c r="B8" s="299">
        <v>250</v>
      </c>
      <c r="C8" s="299">
        <v>250</v>
      </c>
      <c r="D8" s="299">
        <v>40</v>
      </c>
      <c r="E8" s="299">
        <v>40</v>
      </c>
      <c r="F8" s="299">
        <v>50</v>
      </c>
      <c r="G8" s="300">
        <v>50</v>
      </c>
      <c r="H8" s="51"/>
      <c r="I8" t="s">
        <v>377</v>
      </c>
      <c r="J8" t="s">
        <v>378</v>
      </c>
    </row>
    <row r="9" spans="1:10" ht="12.75" customHeight="1">
      <c r="A9" s="151" t="s">
        <v>611</v>
      </c>
      <c r="B9" s="299">
        <v>350</v>
      </c>
      <c r="C9" s="299">
        <v>350</v>
      </c>
      <c r="D9" s="299">
        <v>40</v>
      </c>
      <c r="E9" s="299">
        <v>40</v>
      </c>
      <c r="F9" s="299">
        <v>50</v>
      </c>
      <c r="G9" s="300">
        <v>50</v>
      </c>
      <c r="H9" s="51"/>
      <c r="I9" t="s">
        <v>379</v>
      </c>
      <c r="J9" t="s">
        <v>380</v>
      </c>
    </row>
    <row r="10" spans="1:10" ht="12.75" customHeight="1">
      <c r="A10" s="151" t="s">
        <v>612</v>
      </c>
      <c r="B10" s="299">
        <v>430</v>
      </c>
      <c r="C10" s="299">
        <v>430</v>
      </c>
      <c r="D10" s="299">
        <v>40</v>
      </c>
      <c r="E10" s="299">
        <v>40</v>
      </c>
      <c r="F10" s="299">
        <v>50</v>
      </c>
      <c r="G10" s="300">
        <v>50</v>
      </c>
      <c r="H10" s="51"/>
    </row>
    <row r="11" spans="1:10" ht="12.75" customHeight="1">
      <c r="A11" s="151" t="s">
        <v>613</v>
      </c>
      <c r="B11" s="299">
        <v>600</v>
      </c>
      <c r="C11" s="299">
        <v>600</v>
      </c>
      <c r="D11" s="299">
        <v>50</v>
      </c>
      <c r="E11" s="299">
        <v>50</v>
      </c>
      <c r="F11" s="299">
        <v>60</v>
      </c>
      <c r="G11" s="300">
        <v>60</v>
      </c>
      <c r="H11" s="51"/>
      <c r="I11" t="s">
        <v>381</v>
      </c>
    </row>
    <row r="12" spans="1:10" ht="12.75" customHeight="1">
      <c r="A12" s="151" t="s">
        <v>382</v>
      </c>
      <c r="B12" s="299">
        <v>1200</v>
      </c>
      <c r="C12" s="299">
        <v>1200</v>
      </c>
      <c r="D12" s="299">
        <v>50</v>
      </c>
      <c r="E12" s="299">
        <v>50</v>
      </c>
      <c r="F12" s="299">
        <v>60</v>
      </c>
      <c r="G12" s="300">
        <v>60</v>
      </c>
      <c r="H12" s="51"/>
    </row>
    <row r="13" spans="1:10" ht="15" customHeight="1">
      <c r="A13" s="151" t="s">
        <v>383</v>
      </c>
      <c r="B13" s="299">
        <v>1000</v>
      </c>
      <c r="C13" s="299">
        <v>1000</v>
      </c>
      <c r="D13" s="299">
        <v>60</v>
      </c>
      <c r="E13" s="299">
        <v>60</v>
      </c>
      <c r="F13" s="299">
        <v>70</v>
      </c>
      <c r="G13" s="300">
        <v>70</v>
      </c>
      <c r="H13" s="51"/>
    </row>
    <row r="14" spans="1:10" ht="12.75" customHeight="1">
      <c r="A14" s="151" t="s">
        <v>384</v>
      </c>
      <c r="B14" s="299">
        <v>1200</v>
      </c>
      <c r="C14" s="299">
        <v>1200</v>
      </c>
      <c r="D14" s="299">
        <v>60</v>
      </c>
      <c r="E14" s="299">
        <v>60</v>
      </c>
      <c r="F14" s="299">
        <v>70</v>
      </c>
      <c r="G14" s="300">
        <v>70</v>
      </c>
      <c r="H14" s="51"/>
    </row>
    <row r="15" spans="1:10" ht="12.75" customHeight="1">
      <c r="A15" s="151" t="s">
        <v>614</v>
      </c>
      <c r="B15" s="299">
        <v>350</v>
      </c>
      <c r="C15" s="299">
        <v>350</v>
      </c>
      <c r="D15" s="299">
        <v>50</v>
      </c>
      <c r="E15" s="299">
        <v>50</v>
      </c>
      <c r="F15" s="299">
        <v>60</v>
      </c>
      <c r="G15" s="300">
        <v>60</v>
      </c>
      <c r="H15" s="51"/>
    </row>
    <row r="16" spans="1:10" ht="12.75" customHeight="1">
      <c r="A16" s="151" t="s">
        <v>615</v>
      </c>
      <c r="B16" s="299">
        <v>430</v>
      </c>
      <c r="C16" s="299">
        <v>430</v>
      </c>
      <c r="D16" s="299">
        <v>50</v>
      </c>
      <c r="E16" s="299">
        <v>50</v>
      </c>
      <c r="F16" s="299">
        <v>60</v>
      </c>
      <c r="G16" s="300">
        <v>60</v>
      </c>
      <c r="H16" s="51"/>
    </row>
    <row r="17" spans="1:19" ht="12.75" customHeight="1">
      <c r="A17" s="301" t="s">
        <v>385</v>
      </c>
      <c r="B17" s="302">
        <v>600</v>
      </c>
      <c r="C17" s="302">
        <v>600</v>
      </c>
      <c r="D17" s="302">
        <v>60</v>
      </c>
      <c r="E17" s="302">
        <v>60</v>
      </c>
      <c r="F17" s="302">
        <v>70</v>
      </c>
      <c r="G17" s="303">
        <v>70</v>
      </c>
      <c r="H17" s="51"/>
    </row>
    <row r="18" spans="1:19" ht="12.75" customHeight="1">
      <c r="A18" s="294" t="s">
        <v>386</v>
      </c>
      <c r="B18" s="295">
        <v>308</v>
      </c>
      <c r="C18" s="295">
        <v>308</v>
      </c>
      <c r="D18" s="304">
        <v>35</v>
      </c>
      <c r="E18" s="304">
        <v>35</v>
      </c>
      <c r="F18" s="305"/>
      <c r="G18" s="306"/>
      <c r="H18" s="51"/>
      <c r="I18" s="307" t="s">
        <v>387</v>
      </c>
    </row>
    <row r="19" spans="1:19" ht="12.75" customHeight="1">
      <c r="A19" s="151" t="s">
        <v>388</v>
      </c>
      <c r="B19" s="299">
        <v>311</v>
      </c>
      <c r="C19" s="299">
        <v>311</v>
      </c>
      <c r="D19" s="304">
        <v>35</v>
      </c>
      <c r="E19" s="304">
        <v>35</v>
      </c>
      <c r="F19" s="308"/>
      <c r="G19" s="309"/>
      <c r="H19" s="51"/>
      <c r="I19" s="307" t="s">
        <v>389</v>
      </c>
    </row>
    <row r="20" spans="1:19" ht="12.75" customHeight="1">
      <c r="A20" s="151" t="s">
        <v>390</v>
      </c>
      <c r="B20" s="299">
        <v>314</v>
      </c>
      <c r="C20" s="299">
        <v>314</v>
      </c>
      <c r="D20" s="304">
        <v>35</v>
      </c>
      <c r="E20" s="304">
        <v>35</v>
      </c>
      <c r="F20" s="308"/>
      <c r="G20" s="309"/>
      <c r="H20" s="51"/>
      <c r="I20" s="307" t="s">
        <v>391</v>
      </c>
    </row>
    <row r="21" spans="1:19" ht="12.75" customHeight="1">
      <c r="A21" s="151" t="s">
        <v>392</v>
      </c>
      <c r="B21" s="299">
        <v>317</v>
      </c>
      <c r="C21" s="299">
        <v>317</v>
      </c>
      <c r="D21" s="304">
        <v>35</v>
      </c>
      <c r="E21" s="304">
        <v>35</v>
      </c>
      <c r="F21" s="308"/>
      <c r="G21" s="309"/>
      <c r="H21" s="51"/>
      <c r="I21" s="307" t="s">
        <v>393</v>
      </c>
      <c r="R21" s="310"/>
      <c r="S21" s="310"/>
    </row>
    <row r="22" spans="1:19" ht="15" customHeight="1">
      <c r="A22" s="151" t="s">
        <v>394</v>
      </c>
      <c r="B22" s="299">
        <v>616</v>
      </c>
      <c r="C22" s="299">
        <v>616</v>
      </c>
      <c r="D22" s="304">
        <v>70</v>
      </c>
      <c r="E22" s="304">
        <v>35</v>
      </c>
      <c r="F22" s="308"/>
      <c r="G22" s="309"/>
      <c r="H22" s="51"/>
      <c r="I22" s="307" t="s">
        <v>395</v>
      </c>
      <c r="R22" s="310"/>
      <c r="S22" s="310"/>
    </row>
    <row r="23" spans="1:19" ht="15" customHeight="1">
      <c r="A23" s="151" t="s">
        <v>396</v>
      </c>
      <c r="B23" s="299">
        <v>622</v>
      </c>
      <c r="C23" s="299">
        <v>622</v>
      </c>
      <c r="D23" s="304">
        <v>70</v>
      </c>
      <c r="E23" s="304">
        <v>35</v>
      </c>
      <c r="F23" s="308"/>
      <c r="G23" s="309"/>
      <c r="H23" s="51"/>
      <c r="I23" s="307" t="s">
        <v>397</v>
      </c>
      <c r="R23" s="310"/>
      <c r="S23" s="310"/>
    </row>
    <row r="24" spans="1:19" ht="15" customHeight="1">
      <c r="A24" s="151" t="s">
        <v>398</v>
      </c>
      <c r="B24" s="299">
        <v>628</v>
      </c>
      <c r="C24" s="299">
        <v>628</v>
      </c>
      <c r="D24" s="304">
        <v>70</v>
      </c>
      <c r="E24" s="304">
        <v>35</v>
      </c>
      <c r="F24" s="308"/>
      <c r="G24" s="309"/>
      <c r="H24" s="51"/>
      <c r="I24" s="307" t="s">
        <v>399</v>
      </c>
      <c r="R24" s="310"/>
      <c r="S24" s="310"/>
    </row>
    <row r="25" spans="1:19" ht="15" customHeight="1">
      <c r="A25" s="151" t="s">
        <v>400</v>
      </c>
      <c r="B25" s="299">
        <v>634</v>
      </c>
      <c r="C25" s="299">
        <v>634</v>
      </c>
      <c r="D25" s="304">
        <v>70</v>
      </c>
      <c r="E25" s="304">
        <v>35</v>
      </c>
      <c r="F25" s="308"/>
      <c r="G25" s="309"/>
      <c r="H25" s="51"/>
      <c r="I25" s="307" t="s">
        <v>401</v>
      </c>
    </row>
    <row r="26" spans="1:19" ht="15" customHeight="1">
      <c r="A26" s="311" t="s">
        <v>402</v>
      </c>
      <c r="B26" s="308"/>
      <c r="C26" s="308"/>
      <c r="D26" s="308"/>
      <c r="E26" s="308"/>
      <c r="F26" s="308"/>
      <c r="G26" s="309"/>
      <c r="H26" s="51"/>
      <c r="I26" s="307" t="s">
        <v>403</v>
      </c>
    </row>
    <row r="27" spans="1:19" ht="15" customHeight="1">
      <c r="A27" s="311" t="s">
        <v>404</v>
      </c>
      <c r="B27" s="308"/>
      <c r="C27" s="308"/>
      <c r="D27" s="308"/>
      <c r="E27" s="308"/>
      <c r="F27" s="308"/>
      <c r="G27" s="309"/>
      <c r="H27" s="51"/>
      <c r="I27" s="307" t="s">
        <v>405</v>
      </c>
    </row>
    <row r="28" spans="1:19" ht="12.75" customHeight="1">
      <c r="A28" s="311" t="s">
        <v>406</v>
      </c>
      <c r="B28" s="308"/>
      <c r="C28" s="308"/>
      <c r="D28" s="308"/>
      <c r="E28" s="308"/>
      <c r="F28" s="308"/>
      <c r="G28" s="309"/>
      <c r="H28" s="51"/>
      <c r="I28" s="307" t="s">
        <v>407</v>
      </c>
    </row>
    <row r="29" spans="1:19" ht="12.75" customHeight="1">
      <c r="A29" s="311" t="s">
        <v>408</v>
      </c>
      <c r="B29" s="308"/>
      <c r="C29" s="308"/>
      <c r="D29" s="308"/>
      <c r="E29" s="308"/>
      <c r="F29" s="308"/>
      <c r="G29" s="309"/>
      <c r="H29" s="51"/>
      <c r="I29" s="307" t="s">
        <v>409</v>
      </c>
    </row>
    <row r="30" spans="1:19" ht="12.75" customHeight="1">
      <c r="A30" s="311" t="s">
        <v>410</v>
      </c>
      <c r="B30" s="308"/>
      <c r="C30" s="308"/>
      <c r="D30" s="308"/>
      <c r="E30" s="308"/>
      <c r="F30" s="308"/>
      <c r="G30" s="309"/>
      <c r="H30" s="51"/>
      <c r="I30" s="307" t="s">
        <v>411</v>
      </c>
    </row>
    <row r="31" spans="1:19" ht="12.75" customHeight="1">
      <c r="A31" s="311" t="s">
        <v>412</v>
      </c>
      <c r="B31" s="308"/>
      <c r="C31" s="308"/>
      <c r="D31" s="308"/>
      <c r="E31" s="308"/>
      <c r="F31" s="308"/>
      <c r="G31" s="309"/>
      <c r="H31" s="51"/>
      <c r="I31" s="307" t="s">
        <v>413</v>
      </c>
    </row>
    <row r="32" spans="1:19" ht="12.75" customHeight="1">
      <c r="A32" s="311" t="s">
        <v>414</v>
      </c>
      <c r="B32" s="308"/>
      <c r="C32" s="308"/>
      <c r="D32" s="308"/>
      <c r="E32" s="308"/>
      <c r="F32" s="308"/>
      <c r="G32" s="309"/>
      <c r="H32" s="51"/>
      <c r="I32" s="307" t="s">
        <v>415</v>
      </c>
    </row>
    <row r="33" spans="1:9" ht="12.75" customHeight="1">
      <c r="A33" s="311" t="s">
        <v>416</v>
      </c>
      <c r="B33" s="308"/>
      <c r="C33" s="308"/>
      <c r="D33" s="308"/>
      <c r="E33" s="308"/>
      <c r="F33" s="308"/>
      <c r="G33" s="309"/>
      <c r="H33" s="51"/>
      <c r="I33" s="307" t="s">
        <v>417</v>
      </c>
    </row>
    <row r="34" spans="1:9" ht="12.75" customHeight="1">
      <c r="A34" s="311" t="s">
        <v>418</v>
      </c>
      <c r="B34" s="308"/>
      <c r="C34" s="308"/>
      <c r="D34" s="308"/>
      <c r="E34" s="308"/>
      <c r="F34" s="308"/>
      <c r="G34" s="309"/>
      <c r="H34" s="51"/>
      <c r="I34" s="307" t="s">
        <v>419</v>
      </c>
    </row>
    <row r="35" spans="1:9" ht="12.75" customHeight="1">
      <c r="A35" s="311" t="s">
        <v>420</v>
      </c>
      <c r="B35" s="308"/>
      <c r="C35" s="308"/>
      <c r="D35" s="308"/>
      <c r="E35" s="308"/>
      <c r="F35" s="308"/>
      <c r="G35" s="309"/>
      <c r="H35" s="51"/>
      <c r="I35" s="307" t="s">
        <v>421</v>
      </c>
    </row>
    <row r="36" spans="1:9" ht="12.75" customHeight="1">
      <c r="A36" s="311" t="s">
        <v>422</v>
      </c>
      <c r="B36" s="308"/>
      <c r="C36" s="308"/>
      <c r="D36" s="308"/>
      <c r="E36" s="308"/>
      <c r="F36" s="308"/>
      <c r="G36" s="309"/>
      <c r="H36" s="51"/>
      <c r="I36" s="307" t="s">
        <v>423</v>
      </c>
    </row>
    <row r="37" spans="1:9" ht="12.75" customHeight="1">
      <c r="A37" s="311" t="s">
        <v>424</v>
      </c>
      <c r="B37" s="308"/>
      <c r="C37" s="308"/>
      <c r="D37" s="308"/>
      <c r="E37" s="308"/>
      <c r="F37" s="308"/>
      <c r="G37" s="309"/>
      <c r="H37" s="51"/>
      <c r="I37" s="307" t="s">
        <v>425</v>
      </c>
    </row>
    <row r="38" spans="1:9" ht="12.75" customHeight="1">
      <c r="A38" s="311" t="s">
        <v>426</v>
      </c>
      <c r="B38" s="308"/>
      <c r="C38" s="308"/>
      <c r="D38" s="308"/>
      <c r="E38" s="308"/>
      <c r="F38" s="308"/>
      <c r="G38" s="309"/>
      <c r="H38" s="51"/>
      <c r="I38" s="307" t="s">
        <v>427</v>
      </c>
    </row>
    <row r="39" spans="1:9" ht="12.75" customHeight="1">
      <c r="A39" s="311" t="s">
        <v>428</v>
      </c>
      <c r="B39" s="308"/>
      <c r="C39" s="308"/>
      <c r="D39" s="308"/>
      <c r="E39" s="308"/>
      <c r="F39" s="308"/>
      <c r="G39" s="309"/>
      <c r="H39" s="51"/>
      <c r="I39" s="307" t="s">
        <v>429</v>
      </c>
    </row>
    <row r="40" spans="1:9" ht="12.75" customHeight="1">
      <c r="A40" s="311" t="s">
        <v>430</v>
      </c>
      <c r="B40" s="308"/>
      <c r="C40" s="308"/>
      <c r="D40" s="308"/>
      <c r="E40" s="308"/>
      <c r="F40" s="308"/>
      <c r="G40" s="309"/>
      <c r="H40" s="51"/>
      <c r="I40" s="307" t="s">
        <v>431</v>
      </c>
    </row>
    <row r="41" spans="1:9" ht="12.75" customHeight="1">
      <c r="A41" s="311" t="s">
        <v>432</v>
      </c>
      <c r="B41" s="308"/>
      <c r="C41" s="308"/>
      <c r="D41" s="308"/>
      <c r="E41" s="308"/>
      <c r="F41" s="308"/>
      <c r="G41" s="309"/>
      <c r="H41" s="51"/>
      <c r="I41" s="307" t="s">
        <v>433</v>
      </c>
    </row>
    <row r="42" spans="1:9" ht="12.75" customHeight="1">
      <c r="A42" s="312" t="s">
        <v>434</v>
      </c>
      <c r="B42" s="313"/>
      <c r="C42" s="313"/>
      <c r="D42" s="313"/>
      <c r="E42" s="313"/>
      <c r="F42" s="313"/>
      <c r="G42" s="314"/>
      <c r="H42" s="51"/>
      <c r="I42" s="307" t="s">
        <v>435</v>
      </c>
    </row>
    <row r="43" spans="1:9" ht="12.75" customHeight="1">
      <c r="A43" s="294" t="s">
        <v>436</v>
      </c>
      <c r="B43" s="297">
        <v>186</v>
      </c>
      <c r="C43" s="297">
        <v>92</v>
      </c>
      <c r="D43" s="297">
        <v>28.5</v>
      </c>
      <c r="E43" s="297">
        <v>33.1</v>
      </c>
      <c r="F43" s="297">
        <v>33.6</v>
      </c>
      <c r="G43" s="298">
        <v>39.200000000000003</v>
      </c>
      <c r="H43" s="51"/>
    </row>
    <row r="44" spans="1:9" ht="12.75" customHeight="1">
      <c r="A44" s="151" t="s">
        <v>437</v>
      </c>
      <c r="B44" s="299">
        <v>186</v>
      </c>
      <c r="C44" s="299">
        <v>92</v>
      </c>
      <c r="D44" s="299">
        <v>28.5</v>
      </c>
      <c r="E44" s="299">
        <v>33.1</v>
      </c>
      <c r="F44" s="299">
        <v>33.6</v>
      </c>
      <c r="G44" s="300">
        <v>39.200000000000003</v>
      </c>
      <c r="H44" s="51"/>
    </row>
    <row r="45" spans="1:9" ht="12.75" customHeight="1">
      <c r="A45" s="151" t="s">
        <v>438</v>
      </c>
      <c r="B45" s="299">
        <v>220</v>
      </c>
      <c r="C45" s="299">
        <v>111</v>
      </c>
      <c r="D45" s="299">
        <v>33.4</v>
      </c>
      <c r="E45" s="299">
        <v>38.799999999999997</v>
      </c>
      <c r="F45" s="299">
        <v>39.4</v>
      </c>
      <c r="G45" s="300">
        <v>45.8</v>
      </c>
      <c r="H45" s="51"/>
    </row>
    <row r="46" spans="1:9" ht="12.75" customHeight="1">
      <c r="A46" s="151" t="s">
        <v>123</v>
      </c>
      <c r="B46" s="299">
        <v>227</v>
      </c>
      <c r="C46" s="299">
        <v>111</v>
      </c>
      <c r="D46" s="299">
        <v>37.799999999999997</v>
      </c>
      <c r="E46" s="299">
        <v>43.9</v>
      </c>
      <c r="F46" s="299">
        <v>44.6</v>
      </c>
      <c r="G46" s="300">
        <v>52</v>
      </c>
      <c r="H46" s="51"/>
    </row>
    <row r="47" spans="1:9" ht="12.75" customHeight="1">
      <c r="A47" s="151" t="s">
        <v>439</v>
      </c>
      <c r="B47" s="299">
        <v>227</v>
      </c>
      <c r="C47" s="299">
        <v>113</v>
      </c>
      <c r="D47" s="299">
        <v>48.7</v>
      </c>
      <c r="E47" s="299">
        <v>56.6</v>
      </c>
      <c r="F47" s="299">
        <v>57.5</v>
      </c>
      <c r="G47" s="300">
        <v>66.8</v>
      </c>
      <c r="H47" s="51"/>
      <c r="I47" s="79"/>
    </row>
    <row r="48" spans="1:9" ht="12.75" customHeight="1">
      <c r="A48" s="151" t="s">
        <v>440</v>
      </c>
      <c r="B48" s="297">
        <v>372</v>
      </c>
      <c r="C48" s="297">
        <v>184</v>
      </c>
      <c r="D48" s="297">
        <v>57</v>
      </c>
      <c r="E48" s="297">
        <v>28.7</v>
      </c>
      <c r="F48" s="297">
        <v>67.2</v>
      </c>
      <c r="G48" s="298">
        <v>33.9</v>
      </c>
      <c r="H48" s="51"/>
      <c r="I48" s="315"/>
    </row>
    <row r="49" spans="1:9" ht="12.75" customHeight="1">
      <c r="A49" s="151" t="s">
        <v>441</v>
      </c>
      <c r="B49" s="299">
        <v>372</v>
      </c>
      <c r="C49" s="299">
        <v>184</v>
      </c>
      <c r="D49" s="299">
        <v>57</v>
      </c>
      <c r="E49" s="299">
        <v>28.7</v>
      </c>
      <c r="F49" s="299">
        <v>67.2</v>
      </c>
      <c r="G49" s="300">
        <v>33.9</v>
      </c>
      <c r="H49" s="51"/>
      <c r="I49" s="315"/>
    </row>
    <row r="50" spans="1:9" ht="12.75" customHeight="1">
      <c r="A50" s="151" t="s">
        <v>442</v>
      </c>
      <c r="B50" s="299">
        <v>440</v>
      </c>
      <c r="C50" s="299">
        <v>222</v>
      </c>
      <c r="D50" s="299">
        <v>66.8</v>
      </c>
      <c r="E50" s="299">
        <v>38.799999999999997</v>
      </c>
      <c r="F50" s="299">
        <v>78.8</v>
      </c>
      <c r="G50" s="300">
        <v>45.8</v>
      </c>
      <c r="H50" s="51"/>
      <c r="I50" s="310"/>
    </row>
    <row r="51" spans="1:9" ht="12.75" customHeight="1">
      <c r="A51" s="151" t="s">
        <v>443</v>
      </c>
      <c r="B51" s="299">
        <v>454</v>
      </c>
      <c r="C51" s="299">
        <v>222</v>
      </c>
      <c r="D51" s="299">
        <v>75.599999999999994</v>
      </c>
      <c r="E51" s="299">
        <v>43.9</v>
      </c>
      <c r="F51" s="316">
        <v>89.2</v>
      </c>
      <c r="G51" s="317">
        <v>52</v>
      </c>
      <c r="H51" s="51"/>
      <c r="I51" s="310"/>
    </row>
    <row r="52" spans="1:9" ht="12.75" customHeight="1">
      <c r="A52" s="151" t="s">
        <v>444</v>
      </c>
      <c r="B52" s="299">
        <v>454</v>
      </c>
      <c r="C52" s="299">
        <v>226</v>
      </c>
      <c r="D52" s="299">
        <v>97.4</v>
      </c>
      <c r="E52" s="299">
        <v>56.6</v>
      </c>
      <c r="F52" s="316">
        <v>115</v>
      </c>
      <c r="G52" s="317">
        <v>66.8</v>
      </c>
      <c r="H52" s="51"/>
      <c r="I52" s="310"/>
    </row>
    <row r="53" spans="1:9" ht="12.75" customHeight="1">
      <c r="A53" s="151" t="s">
        <v>445</v>
      </c>
      <c r="B53" s="297">
        <v>372</v>
      </c>
      <c r="C53" s="297">
        <v>184</v>
      </c>
      <c r="D53" s="297">
        <v>28.5</v>
      </c>
      <c r="E53" s="297">
        <v>57.4</v>
      </c>
      <c r="F53" s="297">
        <v>33.6</v>
      </c>
      <c r="G53" s="298">
        <v>67.8</v>
      </c>
      <c r="H53" s="51"/>
      <c r="I53" s="315"/>
    </row>
    <row r="54" spans="1:9" ht="12.75" customHeight="1">
      <c r="A54" s="151" t="s">
        <v>446</v>
      </c>
      <c r="B54" s="299">
        <v>372</v>
      </c>
      <c r="C54" s="299">
        <v>184</v>
      </c>
      <c r="D54" s="299">
        <v>28.5</v>
      </c>
      <c r="E54" s="299">
        <v>57.4</v>
      </c>
      <c r="F54" s="299">
        <v>33.6</v>
      </c>
      <c r="G54" s="300">
        <v>67.8</v>
      </c>
      <c r="H54" s="51"/>
      <c r="I54" s="315"/>
    </row>
    <row r="55" spans="1:9" ht="12.75" customHeight="1">
      <c r="A55" s="151" t="s">
        <v>447</v>
      </c>
      <c r="B55" s="299">
        <v>590</v>
      </c>
      <c r="C55" s="299">
        <v>222</v>
      </c>
      <c r="D55" s="299">
        <v>33.4</v>
      </c>
      <c r="E55" s="299">
        <v>77.599999999999994</v>
      </c>
      <c r="F55" s="299">
        <v>39.4</v>
      </c>
      <c r="G55" s="300">
        <v>91.8</v>
      </c>
      <c r="H55" s="51"/>
      <c r="I55" s="310"/>
    </row>
    <row r="56" spans="1:9" ht="12.75" customHeight="1">
      <c r="A56" s="151" t="s">
        <v>448</v>
      </c>
      <c r="B56" s="299">
        <v>590</v>
      </c>
      <c r="C56" s="299">
        <v>222</v>
      </c>
      <c r="D56" s="299">
        <v>37.799999999999997</v>
      </c>
      <c r="E56" s="299">
        <v>87.8</v>
      </c>
      <c r="F56" s="299">
        <v>44.6</v>
      </c>
      <c r="G56" s="300">
        <v>104</v>
      </c>
      <c r="H56" s="51"/>
      <c r="I56" s="310"/>
    </row>
    <row r="57" spans="1:9" ht="12.75" customHeight="1">
      <c r="A57" s="151" t="s">
        <v>449</v>
      </c>
      <c r="B57" s="299">
        <v>590</v>
      </c>
      <c r="C57" s="299">
        <v>226</v>
      </c>
      <c r="D57" s="299">
        <v>48.7</v>
      </c>
      <c r="E57" s="299">
        <v>113.2</v>
      </c>
      <c r="F57" s="299">
        <v>57.5</v>
      </c>
      <c r="G57" s="300">
        <v>123.6</v>
      </c>
      <c r="H57" s="51"/>
      <c r="I57" s="310"/>
    </row>
    <row r="58" spans="1:9" ht="12.75" customHeight="1">
      <c r="A58" s="151" t="s">
        <v>450</v>
      </c>
      <c r="B58" s="297">
        <v>1080</v>
      </c>
      <c r="C58" s="297">
        <v>184</v>
      </c>
      <c r="D58" s="297">
        <v>57</v>
      </c>
      <c r="E58" s="297">
        <v>57.4</v>
      </c>
      <c r="F58" s="297">
        <v>66.2</v>
      </c>
      <c r="G58" s="298">
        <v>67.8</v>
      </c>
      <c r="H58" s="51"/>
      <c r="I58" s="315"/>
    </row>
    <row r="59" spans="1:9" ht="12.75" customHeight="1">
      <c r="A59" s="151" t="s">
        <v>451</v>
      </c>
      <c r="B59" s="299">
        <v>1700</v>
      </c>
      <c r="C59" s="299">
        <v>184</v>
      </c>
      <c r="D59" s="299">
        <v>57</v>
      </c>
      <c r="E59" s="299">
        <v>57.4</v>
      </c>
      <c r="F59" s="299">
        <v>66.2</v>
      </c>
      <c r="G59" s="300">
        <v>67.8</v>
      </c>
      <c r="H59" s="51"/>
      <c r="I59" s="315"/>
    </row>
    <row r="60" spans="1:9" ht="12.75" customHeight="1">
      <c r="A60" s="151" t="s">
        <v>452</v>
      </c>
      <c r="B60" s="299">
        <v>1500</v>
      </c>
      <c r="C60" s="299">
        <v>222</v>
      </c>
      <c r="D60" s="299">
        <v>66.8</v>
      </c>
      <c r="E60" s="299">
        <v>77.599999999999994</v>
      </c>
      <c r="F60" s="299">
        <v>69.900000000000006</v>
      </c>
      <c r="G60" s="300">
        <v>91.8</v>
      </c>
      <c r="H60" s="51"/>
      <c r="I60" s="310"/>
    </row>
    <row r="61" spans="1:9" ht="12.75" customHeight="1">
      <c r="A61" s="151" t="s">
        <v>453</v>
      </c>
      <c r="B61" s="299">
        <v>1250</v>
      </c>
      <c r="C61" s="299">
        <v>222</v>
      </c>
      <c r="D61" s="299">
        <v>75.599999999999994</v>
      </c>
      <c r="E61" s="299">
        <v>87.8</v>
      </c>
      <c r="F61" s="299">
        <v>101.9</v>
      </c>
      <c r="G61" s="300">
        <v>104</v>
      </c>
      <c r="H61" s="51"/>
      <c r="I61" s="310"/>
    </row>
    <row r="62" spans="1:9" ht="12.75" customHeight="1">
      <c r="A62" s="151" t="s">
        <v>454</v>
      </c>
      <c r="B62" s="299">
        <v>960</v>
      </c>
      <c r="C62" s="299">
        <v>226</v>
      </c>
      <c r="D62" s="299">
        <v>97.4</v>
      </c>
      <c r="E62" s="299">
        <v>113.2</v>
      </c>
      <c r="F62" s="299">
        <v>131.1</v>
      </c>
      <c r="G62" s="300">
        <v>123.6</v>
      </c>
      <c r="H62" s="51"/>
      <c r="I62" s="310"/>
    </row>
    <row r="63" spans="1:9" ht="12.75" customHeight="1">
      <c r="A63" s="151" t="s">
        <v>455</v>
      </c>
      <c r="B63" s="297">
        <v>660</v>
      </c>
      <c r="C63" s="297">
        <v>184</v>
      </c>
      <c r="D63" s="297">
        <v>28.5</v>
      </c>
      <c r="E63" s="297">
        <v>33.1</v>
      </c>
      <c r="F63" s="297">
        <v>33.6</v>
      </c>
      <c r="G63" s="298">
        <v>39.200000000000003</v>
      </c>
      <c r="H63" s="51"/>
      <c r="I63" s="315"/>
    </row>
    <row r="64" spans="1:9" ht="12.75" customHeight="1">
      <c r="A64" s="151" t="s">
        <v>456</v>
      </c>
      <c r="B64" s="299">
        <v>1250</v>
      </c>
      <c r="C64" s="299">
        <v>184</v>
      </c>
      <c r="D64" s="299">
        <v>28.5</v>
      </c>
      <c r="E64" s="299">
        <v>33.1</v>
      </c>
      <c r="F64" s="299">
        <v>33.6</v>
      </c>
      <c r="G64" s="300">
        <v>39.200000000000003</v>
      </c>
      <c r="H64" s="51"/>
      <c r="I64" s="315"/>
    </row>
    <row r="65" spans="1:9" ht="12.75" customHeight="1">
      <c r="A65" s="151" t="s">
        <v>457</v>
      </c>
      <c r="B65" s="299">
        <v>1250</v>
      </c>
      <c r="C65" s="299">
        <v>222</v>
      </c>
      <c r="D65" s="299">
        <v>33.4</v>
      </c>
      <c r="E65" s="299">
        <v>38.799999999999997</v>
      </c>
      <c r="F65" s="299">
        <v>39.4</v>
      </c>
      <c r="G65" s="300">
        <v>45.8</v>
      </c>
      <c r="H65" s="51"/>
      <c r="I65" s="310"/>
    </row>
    <row r="66" spans="1:9" ht="12.75" customHeight="1">
      <c r="A66" s="151" t="s">
        <v>458</v>
      </c>
      <c r="B66" s="299">
        <v>1250</v>
      </c>
      <c r="C66" s="299">
        <v>222</v>
      </c>
      <c r="D66" s="299">
        <v>37.799999999999997</v>
      </c>
      <c r="E66" s="299">
        <v>43.9</v>
      </c>
      <c r="F66" s="299">
        <v>44.6</v>
      </c>
      <c r="G66" s="300">
        <v>52</v>
      </c>
      <c r="H66" s="51"/>
      <c r="I66" s="310"/>
    </row>
    <row r="67" spans="1:9" ht="12.75" customHeight="1">
      <c r="A67" s="151" t="s">
        <v>459</v>
      </c>
      <c r="B67" s="299">
        <v>1250</v>
      </c>
      <c r="C67" s="299">
        <v>226</v>
      </c>
      <c r="D67" s="299">
        <v>48.7</v>
      </c>
      <c r="E67" s="299">
        <v>56.6</v>
      </c>
      <c r="F67" s="299">
        <v>57.5</v>
      </c>
      <c r="G67" s="300">
        <v>66.8</v>
      </c>
      <c r="H67" s="51"/>
      <c r="I67" s="310"/>
    </row>
    <row r="68" spans="1:9" ht="12.75" customHeight="1">
      <c r="A68" s="151" t="s">
        <v>460</v>
      </c>
      <c r="B68" s="297">
        <v>1500</v>
      </c>
      <c r="C68" s="297">
        <v>184</v>
      </c>
      <c r="D68" s="297">
        <v>51.7</v>
      </c>
      <c r="E68" s="297">
        <v>57</v>
      </c>
      <c r="F68" s="297">
        <v>61</v>
      </c>
      <c r="G68" s="298">
        <v>67.2</v>
      </c>
      <c r="H68" s="51"/>
      <c r="I68" s="315"/>
    </row>
    <row r="69" spans="1:9" ht="12.75" customHeight="1">
      <c r="A69" s="151" t="s">
        <v>461</v>
      </c>
      <c r="B69" s="299">
        <v>1500</v>
      </c>
      <c r="C69" s="299">
        <v>184</v>
      </c>
      <c r="D69" s="299">
        <v>51.7</v>
      </c>
      <c r="E69" s="299">
        <v>57</v>
      </c>
      <c r="F69" s="299">
        <v>61</v>
      </c>
      <c r="G69" s="300">
        <v>67.2</v>
      </c>
      <c r="H69" s="51"/>
      <c r="I69" s="315"/>
    </row>
    <row r="70" spans="1:9" ht="12.75" customHeight="1">
      <c r="A70" s="151" t="s">
        <v>462</v>
      </c>
      <c r="B70" s="299">
        <v>1500</v>
      </c>
      <c r="C70" s="299">
        <v>222</v>
      </c>
      <c r="D70" s="299">
        <v>69.8</v>
      </c>
      <c r="E70" s="299">
        <v>66.8</v>
      </c>
      <c r="F70" s="299">
        <v>82.6</v>
      </c>
      <c r="G70" s="300">
        <v>78.8</v>
      </c>
      <c r="H70" s="51"/>
      <c r="I70" s="310"/>
    </row>
    <row r="71" spans="1:9" ht="12.75" customHeight="1">
      <c r="A71" s="151" t="s">
        <v>463</v>
      </c>
      <c r="B71" s="299">
        <v>1500</v>
      </c>
      <c r="C71" s="299">
        <v>222</v>
      </c>
      <c r="D71" s="299">
        <v>79</v>
      </c>
      <c r="E71" s="299">
        <v>75.599999999999994</v>
      </c>
      <c r="F71" s="299">
        <v>93.6</v>
      </c>
      <c r="G71" s="300">
        <v>89.2</v>
      </c>
      <c r="H71" s="51"/>
      <c r="I71" s="310"/>
    </row>
    <row r="72" spans="1:9" ht="12.75" customHeight="1">
      <c r="A72" s="151" t="s">
        <v>464</v>
      </c>
      <c r="B72" s="299">
        <v>1500</v>
      </c>
      <c r="C72" s="299">
        <v>226</v>
      </c>
      <c r="D72" s="299">
        <v>101.9</v>
      </c>
      <c r="E72" s="299">
        <v>97.4</v>
      </c>
      <c r="F72" s="299">
        <v>111.2</v>
      </c>
      <c r="G72" s="300">
        <v>115</v>
      </c>
      <c r="H72" s="51"/>
      <c r="I72" s="310"/>
    </row>
    <row r="73" spans="1:9" ht="12.75" customHeight="1">
      <c r="A73" s="151" t="s">
        <v>465</v>
      </c>
      <c r="B73" s="299">
        <v>2250</v>
      </c>
      <c r="C73" s="299">
        <v>222</v>
      </c>
      <c r="D73" s="299">
        <v>69.8</v>
      </c>
      <c r="E73" s="299">
        <v>66.8</v>
      </c>
      <c r="F73" s="299">
        <v>82.6</v>
      </c>
      <c r="G73" s="300">
        <v>78.8</v>
      </c>
      <c r="H73" s="51"/>
      <c r="I73" s="315"/>
    </row>
    <row r="74" spans="1:9" ht="12.75" customHeight="1">
      <c r="A74" s="151" t="s">
        <v>466</v>
      </c>
      <c r="B74" s="299">
        <v>2250</v>
      </c>
      <c r="C74" s="299">
        <v>222</v>
      </c>
      <c r="D74" s="299">
        <v>79</v>
      </c>
      <c r="E74" s="299">
        <v>75.599999999999994</v>
      </c>
      <c r="F74" s="299">
        <v>93.6</v>
      </c>
      <c r="G74" s="300">
        <v>89.2</v>
      </c>
      <c r="H74" s="51"/>
      <c r="I74" s="315"/>
    </row>
    <row r="75" spans="1:9" ht="12.75" customHeight="1">
      <c r="A75" s="151" t="s">
        <v>467</v>
      </c>
      <c r="B75" s="299">
        <v>2250</v>
      </c>
      <c r="C75" s="299">
        <v>226</v>
      </c>
      <c r="D75" s="299">
        <v>101.9</v>
      </c>
      <c r="E75" s="299">
        <v>97.4</v>
      </c>
      <c r="F75" s="299">
        <v>111.2</v>
      </c>
      <c r="G75" s="300">
        <v>115</v>
      </c>
      <c r="H75" s="51"/>
      <c r="I75" s="310"/>
    </row>
    <row r="76" spans="1:9" ht="12.75" customHeight="1">
      <c r="A76" s="151" t="s">
        <v>468</v>
      </c>
      <c r="B76" s="299">
        <v>1500</v>
      </c>
      <c r="C76" s="299">
        <v>1180</v>
      </c>
      <c r="D76" s="299">
        <v>108.6</v>
      </c>
      <c r="E76" s="299">
        <v>102</v>
      </c>
      <c r="F76" s="299">
        <v>128.4</v>
      </c>
      <c r="G76" s="300">
        <v>118.2</v>
      </c>
      <c r="H76" s="51"/>
      <c r="I76" s="310"/>
    </row>
    <row r="77" spans="1:9" ht="12.75" customHeight="1">
      <c r="A77" s="151" t="s">
        <v>469</v>
      </c>
      <c r="B77" s="299">
        <v>1500</v>
      </c>
      <c r="C77" s="299">
        <v>1180</v>
      </c>
      <c r="D77" s="299">
        <v>122.9</v>
      </c>
      <c r="E77" s="299">
        <v>113.4</v>
      </c>
      <c r="F77" s="299">
        <v>145.6</v>
      </c>
      <c r="G77" s="300">
        <v>133.80000000000001</v>
      </c>
      <c r="H77" s="51"/>
      <c r="I77" s="310"/>
    </row>
    <row r="78" spans="1:9" ht="12.75" customHeight="1">
      <c r="A78" s="151" t="s">
        <v>470</v>
      </c>
      <c r="B78" s="299">
        <v>1500</v>
      </c>
      <c r="C78" s="299">
        <v>1180</v>
      </c>
      <c r="D78" s="292">
        <v>158.5</v>
      </c>
      <c r="E78" s="292">
        <v>146.1</v>
      </c>
      <c r="F78" s="299">
        <v>178</v>
      </c>
      <c r="G78" s="318">
        <v>172.5</v>
      </c>
      <c r="H78" s="51"/>
      <c r="I78" s="310"/>
    </row>
    <row r="79" spans="1:9" ht="12.75" customHeight="1">
      <c r="A79" s="151" t="s">
        <v>471</v>
      </c>
      <c r="B79" s="299">
        <v>2250</v>
      </c>
      <c r="C79" s="299">
        <v>1650</v>
      </c>
      <c r="D79" s="299">
        <v>108.6</v>
      </c>
      <c r="E79" s="299">
        <v>102</v>
      </c>
      <c r="F79" s="299">
        <v>128.4</v>
      </c>
      <c r="G79" s="300">
        <v>118.2</v>
      </c>
      <c r="H79" s="51"/>
      <c r="I79" s="310"/>
    </row>
    <row r="80" spans="1:9" ht="12.75" customHeight="1">
      <c r="A80" s="151" t="s">
        <v>472</v>
      </c>
      <c r="B80" s="299">
        <v>2250</v>
      </c>
      <c r="C80" s="299">
        <v>1650</v>
      </c>
      <c r="D80" s="299">
        <v>122.9</v>
      </c>
      <c r="E80" s="299">
        <v>113.4</v>
      </c>
      <c r="F80" s="299">
        <v>145.6</v>
      </c>
      <c r="G80" s="300">
        <v>133.80000000000001</v>
      </c>
      <c r="H80" s="51"/>
      <c r="I80" s="310"/>
    </row>
    <row r="81" spans="1:9" ht="12.75" customHeight="1">
      <c r="A81" s="301" t="s">
        <v>473</v>
      </c>
      <c r="B81" s="302">
        <v>2250</v>
      </c>
      <c r="C81" s="302">
        <v>1650</v>
      </c>
      <c r="D81" s="292">
        <v>158.5</v>
      </c>
      <c r="E81" s="292">
        <v>146.1</v>
      </c>
      <c r="F81" s="299">
        <v>178</v>
      </c>
      <c r="G81" s="318">
        <v>172.5</v>
      </c>
      <c r="H81" s="51"/>
      <c r="I81" s="310"/>
    </row>
    <row r="82" spans="1:9" ht="12.75" customHeight="1">
      <c r="A82" s="151" t="s">
        <v>474</v>
      </c>
      <c r="B82" s="299">
        <v>186</v>
      </c>
      <c r="C82" s="299">
        <v>92</v>
      </c>
      <c r="D82" s="299">
        <v>28.5</v>
      </c>
      <c r="E82" s="299">
        <v>33.1</v>
      </c>
      <c r="F82" s="299">
        <v>33.6</v>
      </c>
      <c r="G82" s="300">
        <v>39.200000000000003</v>
      </c>
      <c r="H82" s="51"/>
      <c r="I82" s="310"/>
    </row>
    <row r="83" spans="1:9" ht="12.75" customHeight="1">
      <c r="A83" s="151" t="s">
        <v>475</v>
      </c>
      <c r="B83" s="299">
        <v>220</v>
      </c>
      <c r="C83" s="299">
        <v>111</v>
      </c>
      <c r="D83" s="299">
        <v>33.4</v>
      </c>
      <c r="E83" s="299">
        <v>38.799999999999997</v>
      </c>
      <c r="F83" s="299">
        <v>39.4</v>
      </c>
      <c r="G83" s="300">
        <v>45.8</v>
      </c>
      <c r="H83" s="51"/>
      <c r="I83" s="51"/>
    </row>
    <row r="84" spans="1:9" ht="12.75" customHeight="1">
      <c r="A84" s="151" t="s">
        <v>476</v>
      </c>
      <c r="B84" s="299">
        <v>227</v>
      </c>
      <c r="C84" s="299">
        <v>111</v>
      </c>
      <c r="D84" s="299">
        <v>37.799999999999997</v>
      </c>
      <c r="E84" s="299">
        <v>43.9</v>
      </c>
      <c r="F84" s="299">
        <v>44.6</v>
      </c>
      <c r="G84" s="300">
        <v>52</v>
      </c>
      <c r="H84" s="51"/>
      <c r="I84" s="310"/>
    </row>
    <row r="85" spans="1:9" ht="12" customHeight="1">
      <c r="A85" s="151" t="s">
        <v>477</v>
      </c>
      <c r="B85" s="299">
        <v>227</v>
      </c>
      <c r="C85" s="299">
        <v>113</v>
      </c>
      <c r="D85" s="299">
        <v>48.7</v>
      </c>
      <c r="E85" s="299">
        <v>56.6</v>
      </c>
      <c r="F85" s="299">
        <v>57.5</v>
      </c>
      <c r="G85" s="300">
        <v>66.8</v>
      </c>
      <c r="H85" s="51"/>
      <c r="I85" s="310"/>
    </row>
    <row r="86" spans="1:9" ht="12" customHeight="1">
      <c r="A86" s="151" t="s">
        <v>617</v>
      </c>
      <c r="B86" s="299">
        <v>227</v>
      </c>
      <c r="C86" s="299">
        <v>113</v>
      </c>
      <c r="D86" s="299">
        <v>48.7</v>
      </c>
      <c r="E86" s="299">
        <v>56.6</v>
      </c>
      <c r="F86" s="299">
        <v>57.5</v>
      </c>
      <c r="G86" s="300">
        <v>66.8</v>
      </c>
      <c r="H86" s="51"/>
      <c r="I86" s="310"/>
    </row>
    <row r="87" spans="1:9" ht="12.75" customHeight="1">
      <c r="A87" s="151" t="s">
        <v>478</v>
      </c>
      <c r="B87" s="299">
        <v>372</v>
      </c>
      <c r="C87" s="299">
        <v>184</v>
      </c>
      <c r="D87" s="299">
        <v>28.5</v>
      </c>
      <c r="E87" s="299">
        <v>57.4</v>
      </c>
      <c r="F87" s="299">
        <v>33.6</v>
      </c>
      <c r="G87" s="300">
        <v>67.8</v>
      </c>
      <c r="H87" s="51"/>
      <c r="I87" s="51"/>
    </row>
    <row r="88" spans="1:9" ht="12.75" customHeight="1">
      <c r="A88" s="151" t="s">
        <v>479</v>
      </c>
      <c r="B88" s="299">
        <v>590</v>
      </c>
      <c r="C88" s="299">
        <v>222</v>
      </c>
      <c r="D88" s="299">
        <v>33.4</v>
      </c>
      <c r="E88" s="299">
        <v>77.599999999999994</v>
      </c>
      <c r="F88" s="299">
        <v>39.4</v>
      </c>
      <c r="G88" s="300">
        <v>91.8</v>
      </c>
      <c r="H88" s="51"/>
      <c r="I88" s="315"/>
    </row>
    <row r="89" spans="1:9" ht="12.75" customHeight="1">
      <c r="A89" s="151" t="s">
        <v>480</v>
      </c>
      <c r="B89" s="299">
        <v>590</v>
      </c>
      <c r="C89" s="299">
        <v>222</v>
      </c>
      <c r="D89" s="299">
        <v>37.799999999999997</v>
      </c>
      <c r="E89" s="299">
        <v>87.8</v>
      </c>
      <c r="F89" s="299">
        <v>44.6</v>
      </c>
      <c r="G89" s="300">
        <v>104</v>
      </c>
      <c r="H89" s="51"/>
      <c r="I89" s="310"/>
    </row>
    <row r="90" spans="1:9" ht="12.75" customHeight="1">
      <c r="A90" s="151" t="s">
        <v>481</v>
      </c>
      <c r="B90" s="299">
        <v>590</v>
      </c>
      <c r="C90" s="299">
        <v>226</v>
      </c>
      <c r="D90" s="299">
        <v>48.7</v>
      </c>
      <c r="E90" s="299">
        <v>113.2</v>
      </c>
      <c r="F90" s="299">
        <v>57.5</v>
      </c>
      <c r="G90" s="300">
        <v>123.6</v>
      </c>
      <c r="H90" s="51"/>
      <c r="I90" s="310"/>
    </row>
    <row r="91" spans="1:9" ht="12.75" customHeight="1">
      <c r="A91" s="151" t="s">
        <v>482</v>
      </c>
      <c r="B91" s="299">
        <v>1700</v>
      </c>
      <c r="C91" s="299">
        <v>184</v>
      </c>
      <c r="D91" s="299">
        <v>57</v>
      </c>
      <c r="E91" s="299">
        <v>57.4</v>
      </c>
      <c r="F91" s="299">
        <v>66.2</v>
      </c>
      <c r="G91" s="300">
        <v>67.8</v>
      </c>
      <c r="H91" s="51"/>
      <c r="I91" s="310"/>
    </row>
    <row r="92" spans="1:9" ht="12.75" customHeight="1">
      <c r="A92" s="151" t="s">
        <v>483</v>
      </c>
      <c r="B92" s="299">
        <v>1500</v>
      </c>
      <c r="C92" s="299">
        <v>222</v>
      </c>
      <c r="D92" s="299">
        <v>66.8</v>
      </c>
      <c r="E92" s="299">
        <v>77.599999999999994</v>
      </c>
      <c r="F92" s="299">
        <v>69.900000000000006</v>
      </c>
      <c r="G92" s="300">
        <v>91.8</v>
      </c>
      <c r="H92" s="51"/>
      <c r="I92" s="315"/>
    </row>
    <row r="93" spans="1:9" ht="12.75" customHeight="1">
      <c r="A93" s="151" t="s">
        <v>484</v>
      </c>
      <c r="B93" s="299">
        <v>1250</v>
      </c>
      <c r="C93" s="299">
        <v>222</v>
      </c>
      <c r="D93" s="299">
        <v>75.599999999999994</v>
      </c>
      <c r="E93" s="299">
        <v>87.8</v>
      </c>
      <c r="F93" s="299">
        <v>101.9</v>
      </c>
      <c r="G93" s="300">
        <v>104</v>
      </c>
      <c r="H93" s="51"/>
      <c r="I93" s="310"/>
    </row>
    <row r="94" spans="1:9" ht="12.75" customHeight="1">
      <c r="A94" s="151" t="s">
        <v>485</v>
      </c>
      <c r="B94" s="299">
        <v>960</v>
      </c>
      <c r="C94" s="299">
        <v>226</v>
      </c>
      <c r="D94" s="299">
        <v>97.4</v>
      </c>
      <c r="E94" s="299">
        <v>113.2</v>
      </c>
      <c r="F94" s="299">
        <v>131.1</v>
      </c>
      <c r="G94" s="300">
        <v>123.6</v>
      </c>
      <c r="H94" s="51"/>
      <c r="I94" s="310"/>
    </row>
    <row r="95" spans="1:9" ht="12.75" customHeight="1">
      <c r="A95" s="151" t="s">
        <v>486</v>
      </c>
      <c r="B95" s="299">
        <v>1250</v>
      </c>
      <c r="C95" s="299">
        <v>184</v>
      </c>
      <c r="D95" s="299">
        <v>28.5</v>
      </c>
      <c r="E95" s="299">
        <v>33.1</v>
      </c>
      <c r="F95" s="299">
        <v>33.6</v>
      </c>
      <c r="G95" s="300">
        <v>39.200000000000003</v>
      </c>
      <c r="H95" s="51"/>
      <c r="I95" s="310"/>
    </row>
    <row r="96" spans="1:9" ht="12.75" customHeight="1">
      <c r="A96" s="151" t="s">
        <v>487</v>
      </c>
      <c r="B96" s="299">
        <v>1250</v>
      </c>
      <c r="C96" s="299">
        <v>222</v>
      </c>
      <c r="D96" s="299">
        <v>33.4</v>
      </c>
      <c r="E96" s="299">
        <v>38.799999999999997</v>
      </c>
      <c r="F96" s="299">
        <v>39.4</v>
      </c>
      <c r="G96" s="300">
        <v>45.8</v>
      </c>
      <c r="H96" s="51"/>
      <c r="I96" s="315"/>
    </row>
    <row r="97" spans="1:9" ht="12.75" customHeight="1">
      <c r="A97" s="151" t="s">
        <v>488</v>
      </c>
      <c r="B97" s="299">
        <v>1250</v>
      </c>
      <c r="C97" s="299">
        <v>222</v>
      </c>
      <c r="D97" s="299">
        <v>37.799999999999997</v>
      </c>
      <c r="E97" s="299">
        <v>43.9</v>
      </c>
      <c r="F97" s="299">
        <v>44.6</v>
      </c>
      <c r="G97" s="300">
        <v>52</v>
      </c>
      <c r="H97" s="51"/>
      <c r="I97" s="310"/>
    </row>
    <row r="98" spans="1:9" ht="12.75" customHeight="1">
      <c r="A98" s="151" t="s">
        <v>489</v>
      </c>
      <c r="B98" s="299">
        <v>1250</v>
      </c>
      <c r="C98" s="299">
        <v>226</v>
      </c>
      <c r="D98" s="299">
        <v>48.7</v>
      </c>
      <c r="E98" s="299">
        <v>56.6</v>
      </c>
      <c r="F98" s="299">
        <v>57.5</v>
      </c>
      <c r="G98" s="300">
        <v>66.8</v>
      </c>
      <c r="H98" s="51"/>
      <c r="I98" s="310"/>
    </row>
    <row r="99" spans="1:9" ht="12.75" customHeight="1">
      <c r="A99" s="151" t="s">
        <v>490</v>
      </c>
      <c r="B99" s="299">
        <v>1500</v>
      </c>
      <c r="C99" s="299">
        <v>184</v>
      </c>
      <c r="D99" s="299">
        <v>51.7</v>
      </c>
      <c r="E99" s="299">
        <v>57</v>
      </c>
      <c r="F99" s="299">
        <v>61</v>
      </c>
      <c r="G99" s="300">
        <v>67.2</v>
      </c>
      <c r="H99" s="51"/>
      <c r="I99" s="310"/>
    </row>
    <row r="100" spans="1:9" ht="12.75" customHeight="1">
      <c r="A100" s="151" t="s">
        <v>491</v>
      </c>
      <c r="B100" s="299">
        <v>1500</v>
      </c>
      <c r="C100" s="299">
        <v>222</v>
      </c>
      <c r="D100" s="299">
        <v>69.8</v>
      </c>
      <c r="E100" s="299">
        <v>66.8</v>
      </c>
      <c r="F100" s="299">
        <v>82.6</v>
      </c>
      <c r="G100" s="300">
        <v>78.8</v>
      </c>
      <c r="H100" s="51"/>
      <c r="I100" s="315"/>
    </row>
    <row r="101" spans="1:9" ht="12.75" customHeight="1">
      <c r="A101" s="151" t="s">
        <v>492</v>
      </c>
      <c r="B101" s="299">
        <v>1500</v>
      </c>
      <c r="C101" s="299">
        <v>222</v>
      </c>
      <c r="D101" s="299">
        <v>79</v>
      </c>
      <c r="E101" s="299">
        <v>75.599999999999994</v>
      </c>
      <c r="F101" s="299">
        <v>93.6</v>
      </c>
      <c r="G101" s="300">
        <v>89.2</v>
      </c>
      <c r="H101" s="51"/>
      <c r="I101" s="310"/>
    </row>
    <row r="102" spans="1:9" ht="12.75" customHeight="1">
      <c r="A102" s="151" t="s">
        <v>493</v>
      </c>
      <c r="B102" s="299">
        <v>1500</v>
      </c>
      <c r="C102" s="299">
        <v>226</v>
      </c>
      <c r="D102" s="299">
        <v>101.9</v>
      </c>
      <c r="E102" s="299">
        <v>97.4</v>
      </c>
      <c r="F102" s="299">
        <v>111.2</v>
      </c>
      <c r="G102" s="300">
        <v>115</v>
      </c>
      <c r="H102" s="51"/>
      <c r="I102" s="310"/>
    </row>
    <row r="103" spans="1:9" ht="12.75" customHeight="1">
      <c r="A103" s="151" t="s">
        <v>494</v>
      </c>
      <c r="B103" s="299">
        <v>2250</v>
      </c>
      <c r="C103" s="299">
        <v>222</v>
      </c>
      <c r="D103" s="299">
        <v>69.8</v>
      </c>
      <c r="E103" s="299">
        <v>66.8</v>
      </c>
      <c r="F103" s="299">
        <v>82.6</v>
      </c>
      <c r="G103" s="300">
        <v>78.8</v>
      </c>
      <c r="H103" s="51"/>
      <c r="I103" s="310"/>
    </row>
    <row r="104" spans="1:9" ht="12.75" customHeight="1">
      <c r="A104" s="151" t="s">
        <v>495</v>
      </c>
      <c r="B104" s="299">
        <v>2250</v>
      </c>
      <c r="C104" s="299">
        <v>222</v>
      </c>
      <c r="D104" s="299">
        <v>79</v>
      </c>
      <c r="E104" s="299">
        <v>75.599999999999994</v>
      </c>
      <c r="F104" s="299">
        <v>93.6</v>
      </c>
      <c r="G104" s="300">
        <v>89.2</v>
      </c>
      <c r="H104" s="51"/>
      <c r="I104" s="315"/>
    </row>
    <row r="105" spans="1:9" ht="12.75" customHeight="1">
      <c r="A105" s="151" t="s">
        <v>496</v>
      </c>
      <c r="B105" s="299">
        <v>2250</v>
      </c>
      <c r="C105" s="299">
        <v>226</v>
      </c>
      <c r="D105" s="299">
        <v>101.9</v>
      </c>
      <c r="E105" s="299">
        <v>97.4</v>
      </c>
      <c r="F105" s="299">
        <v>111.2</v>
      </c>
      <c r="G105" s="300">
        <v>115</v>
      </c>
      <c r="H105" s="51"/>
      <c r="I105" s="310"/>
    </row>
    <row r="106" spans="1:9" ht="12.75" customHeight="1">
      <c r="A106" s="151" t="s">
        <v>497</v>
      </c>
      <c r="B106" s="299">
        <v>1500</v>
      </c>
      <c r="C106" s="299">
        <v>1180</v>
      </c>
      <c r="D106" s="299">
        <v>108.6</v>
      </c>
      <c r="E106" s="299">
        <v>102</v>
      </c>
      <c r="F106" s="299">
        <v>128.4</v>
      </c>
      <c r="G106" s="300">
        <v>118.2</v>
      </c>
      <c r="H106" s="51"/>
      <c r="I106" s="310"/>
    </row>
    <row r="107" spans="1:9" ht="12.75" customHeight="1">
      <c r="A107" s="151" t="s">
        <v>498</v>
      </c>
      <c r="B107" s="299">
        <v>1500</v>
      </c>
      <c r="C107" s="299">
        <v>1180</v>
      </c>
      <c r="D107" s="299">
        <v>122.9</v>
      </c>
      <c r="E107" s="299">
        <v>113.4</v>
      </c>
      <c r="F107" s="299">
        <v>145.6</v>
      </c>
      <c r="G107" s="300">
        <v>133.80000000000001</v>
      </c>
      <c r="H107" s="51"/>
      <c r="I107" s="310"/>
    </row>
    <row r="108" spans="1:9" ht="12.75" customHeight="1">
      <c r="A108" s="151" t="s">
        <v>499</v>
      </c>
      <c r="B108" s="299">
        <v>1500</v>
      </c>
      <c r="C108" s="299">
        <v>1180</v>
      </c>
      <c r="D108" s="292">
        <v>158.5</v>
      </c>
      <c r="E108" s="292">
        <v>146.1</v>
      </c>
      <c r="F108" s="299">
        <v>178</v>
      </c>
      <c r="G108" s="318">
        <v>172.5</v>
      </c>
      <c r="H108" s="51"/>
      <c r="I108" s="310"/>
    </row>
    <row r="109" spans="1:9" ht="12.75" customHeight="1">
      <c r="A109" s="151" t="s">
        <v>500</v>
      </c>
      <c r="B109" s="299">
        <v>2250</v>
      </c>
      <c r="C109" s="299">
        <v>1650</v>
      </c>
      <c r="D109" s="299">
        <v>108.6</v>
      </c>
      <c r="E109" s="299">
        <v>102</v>
      </c>
      <c r="F109" s="299">
        <v>128.4</v>
      </c>
      <c r="G109" s="300">
        <v>118.2</v>
      </c>
      <c r="H109" s="51"/>
      <c r="I109" s="310"/>
    </row>
    <row r="110" spans="1:9" ht="12.75" customHeight="1">
      <c r="A110" s="151" t="s">
        <v>501</v>
      </c>
      <c r="B110" s="299">
        <v>2250</v>
      </c>
      <c r="C110" s="299">
        <v>1650</v>
      </c>
      <c r="D110" s="299">
        <v>122.9</v>
      </c>
      <c r="E110" s="299">
        <v>113.4</v>
      </c>
      <c r="F110" s="299">
        <v>145.6</v>
      </c>
      <c r="G110" s="300">
        <v>133.80000000000001</v>
      </c>
      <c r="H110" s="51"/>
      <c r="I110" s="310"/>
    </row>
    <row r="111" spans="1:9" ht="12.75" customHeight="1">
      <c r="A111" s="301" t="s">
        <v>502</v>
      </c>
      <c r="B111" s="302">
        <v>2250</v>
      </c>
      <c r="C111" s="302">
        <v>1650</v>
      </c>
      <c r="D111" s="292">
        <v>158.5</v>
      </c>
      <c r="E111" s="292">
        <v>146.1</v>
      </c>
      <c r="F111" s="299">
        <v>178</v>
      </c>
      <c r="G111" s="318">
        <v>172.5</v>
      </c>
      <c r="H111" s="51"/>
      <c r="I111" s="310"/>
    </row>
    <row r="112" spans="1:9" ht="12.75" customHeight="1">
      <c r="A112" s="301"/>
      <c r="B112" s="319"/>
      <c r="C112" s="319"/>
      <c r="D112" s="319"/>
      <c r="E112" s="319"/>
      <c r="F112" s="319"/>
      <c r="G112" s="320"/>
      <c r="H112" s="51"/>
      <c r="I112" s="310"/>
    </row>
    <row r="113" spans="1:9" ht="12.75" customHeight="1">
      <c r="A113" s="51"/>
      <c r="B113" s="51"/>
      <c r="C113" s="51"/>
      <c r="D113" s="51"/>
      <c r="E113" s="51"/>
      <c r="F113" s="51"/>
      <c r="G113" s="51"/>
      <c r="H113" s="51"/>
      <c r="I113" s="51"/>
    </row>
    <row r="114" spans="1:9" ht="12.75" customHeight="1">
      <c r="A114" s="105"/>
      <c r="B114" s="272" t="s">
        <v>503</v>
      </c>
      <c r="C114" s="272" t="s">
        <v>504</v>
      </c>
      <c r="F114" s="51"/>
      <c r="G114" s="51"/>
      <c r="H114" s="51"/>
      <c r="I114" s="310"/>
    </row>
    <row r="115" spans="1:9" ht="12.75" customHeight="1">
      <c r="A115" s="105" t="s">
        <v>505</v>
      </c>
      <c r="B115" s="272" t="s">
        <v>506</v>
      </c>
      <c r="C115" s="272" t="s">
        <v>507</v>
      </c>
      <c r="F115" s="51"/>
      <c r="G115" s="51"/>
      <c r="H115" s="51"/>
      <c r="I115" s="310"/>
    </row>
    <row r="116" spans="1:9" ht="12.75" customHeight="1">
      <c r="A116" s="105" t="s">
        <v>508</v>
      </c>
      <c r="B116" s="272" t="s">
        <v>509</v>
      </c>
      <c r="C116" s="272" t="s">
        <v>510</v>
      </c>
      <c r="F116" s="51"/>
      <c r="G116" s="51"/>
      <c r="H116" s="51"/>
      <c r="I116" s="51"/>
    </row>
    <row r="117" spans="1:9" ht="12.75" customHeight="1">
      <c r="B117" s="2"/>
      <c r="C117" s="2"/>
      <c r="F117" s="51"/>
      <c r="G117" s="51"/>
      <c r="H117" s="51"/>
      <c r="I117" s="79"/>
    </row>
    <row r="118" spans="1:9" ht="12.75" customHeight="1">
      <c r="A118" s="321" t="s">
        <v>511</v>
      </c>
      <c r="B118" s="322"/>
      <c r="C118" s="322"/>
      <c r="D118" s="322"/>
      <c r="F118" s="51"/>
      <c r="G118" s="51"/>
      <c r="H118" s="51"/>
      <c r="I118" s="79"/>
    </row>
    <row r="119" spans="1:9" ht="12.75" customHeight="1">
      <c r="A119" s="323"/>
      <c r="B119" s="323" t="s">
        <v>512</v>
      </c>
      <c r="C119" s="323" t="s">
        <v>513</v>
      </c>
      <c r="D119" s="323" t="s">
        <v>514</v>
      </c>
      <c r="F119" s="51"/>
      <c r="G119" s="51"/>
      <c r="H119" s="51"/>
    </row>
    <row r="120" spans="1:9" ht="12.75" customHeight="1">
      <c r="A120" s="323" t="s">
        <v>515</v>
      </c>
      <c r="B120" s="292" t="s">
        <v>516</v>
      </c>
      <c r="C120" s="292" t="s">
        <v>517</v>
      </c>
      <c r="D120" s="292" t="s">
        <v>518</v>
      </c>
      <c r="F120" s="51"/>
      <c r="G120" s="51"/>
      <c r="H120" s="51"/>
    </row>
    <row r="121" spans="1:9" ht="12.75" customHeight="1">
      <c r="A121" s="51"/>
      <c r="B121" s="51"/>
      <c r="C121" s="51"/>
      <c r="D121" s="51"/>
      <c r="E121" s="51"/>
      <c r="F121" s="51"/>
      <c r="G121" s="51"/>
      <c r="H121" s="51"/>
    </row>
    <row r="122" spans="1:9" ht="12.75" customHeight="1">
      <c r="A122" s="51"/>
      <c r="B122" s="51"/>
      <c r="C122" s="51"/>
      <c r="D122" s="51"/>
      <c r="E122" s="51"/>
      <c r="F122" s="51"/>
      <c r="G122" s="51"/>
      <c r="H122" s="51"/>
    </row>
    <row r="123" spans="1:9" ht="12.75" customHeight="1">
      <c r="A123" s="51"/>
      <c r="B123" s="51"/>
      <c r="C123" s="51"/>
      <c r="D123" s="51"/>
      <c r="E123" s="51"/>
      <c r="F123" s="51"/>
      <c r="G123" s="51"/>
      <c r="H123" s="51"/>
    </row>
    <row r="124" spans="1:9" ht="12.75" customHeight="1">
      <c r="A124" s="51"/>
      <c r="B124" s="51"/>
      <c r="C124" s="51"/>
      <c r="D124" s="51"/>
      <c r="E124" s="51"/>
      <c r="F124" s="51"/>
      <c r="G124" s="51"/>
      <c r="H124" s="51"/>
    </row>
    <row r="125" spans="1:9" ht="12.75" customHeight="1">
      <c r="A125" s="51"/>
      <c r="B125" s="51"/>
      <c r="C125" s="51"/>
      <c r="D125" s="51"/>
      <c r="E125" s="51"/>
      <c r="F125" s="51"/>
      <c r="G125" s="51"/>
      <c r="H125" s="51"/>
    </row>
    <row r="126" spans="1:9" ht="12.75" customHeight="1">
      <c r="A126" s="51"/>
      <c r="B126" s="51"/>
      <c r="C126" s="51"/>
      <c r="D126" s="51"/>
      <c r="E126" s="51"/>
      <c r="F126" s="51"/>
      <c r="G126" s="51"/>
      <c r="H126" s="51"/>
    </row>
    <row r="127" spans="1:9" ht="12.75" customHeight="1">
      <c r="A127" s="51"/>
      <c r="B127" s="51"/>
      <c r="C127" s="51"/>
      <c r="D127" s="51"/>
      <c r="E127" s="51"/>
      <c r="F127" s="51"/>
      <c r="G127" s="51"/>
      <c r="H127" s="51"/>
    </row>
    <row r="128" spans="1:9" ht="12.75" customHeight="1">
      <c r="A128" s="51"/>
      <c r="B128" s="51"/>
      <c r="C128" s="51"/>
      <c r="D128" s="51"/>
      <c r="E128" s="51"/>
      <c r="F128" s="51"/>
      <c r="G128" s="51"/>
      <c r="H128" s="51"/>
    </row>
    <row r="129" spans="1:19" ht="12.75" customHeight="1">
      <c r="A129" s="51"/>
      <c r="B129" s="51"/>
      <c r="C129" s="51"/>
      <c r="D129" s="51"/>
      <c r="E129" s="51"/>
      <c r="F129" s="51"/>
      <c r="G129" s="51"/>
      <c r="H129" s="51"/>
    </row>
    <row r="130" spans="1:19" ht="12.75" customHeight="1">
      <c r="A130" s="51"/>
      <c r="B130" s="51"/>
      <c r="C130" s="51"/>
      <c r="D130" s="51"/>
      <c r="E130" s="51"/>
      <c r="F130" s="51"/>
      <c r="G130" s="51"/>
      <c r="H130" s="51"/>
    </row>
    <row r="131" spans="1:19" ht="12.75" customHeight="1">
      <c r="A131" s="51"/>
      <c r="B131" s="51"/>
      <c r="C131" s="51"/>
      <c r="D131" s="51"/>
      <c r="E131" s="51"/>
      <c r="F131" s="51"/>
      <c r="G131" s="51"/>
      <c r="H131" s="51"/>
    </row>
    <row r="132" spans="1:19" ht="12.75" customHeight="1">
      <c r="A132" s="51"/>
      <c r="B132" s="51"/>
      <c r="C132" s="51"/>
      <c r="D132" s="51"/>
      <c r="E132" s="51"/>
      <c r="F132" s="51"/>
      <c r="G132" s="51"/>
      <c r="H132" s="51"/>
    </row>
    <row r="133" spans="1:19" ht="12.75" customHeight="1">
      <c r="A133" s="51"/>
      <c r="B133" s="51"/>
      <c r="C133" s="51"/>
      <c r="D133" s="51"/>
      <c r="E133" s="51"/>
      <c r="F133" s="51"/>
      <c r="G133" s="51"/>
      <c r="H133" s="51"/>
    </row>
    <row r="134" spans="1:19" ht="12.75" customHeight="1">
      <c r="A134" s="51"/>
      <c r="B134" s="51"/>
      <c r="C134" s="51"/>
      <c r="D134" s="51"/>
      <c r="E134" s="51"/>
      <c r="F134" s="51"/>
      <c r="G134" s="51"/>
      <c r="H134" s="51"/>
    </row>
    <row r="135" spans="1:19" ht="12.75" customHeight="1">
      <c r="A135" s="51"/>
      <c r="B135" s="51"/>
      <c r="C135" s="51"/>
      <c r="D135" s="51"/>
      <c r="E135" s="51"/>
      <c r="F135" s="51"/>
      <c r="G135" s="51"/>
      <c r="H135" s="51"/>
    </row>
    <row r="136" spans="1:19" ht="12.75" customHeight="1">
      <c r="A136" s="51"/>
      <c r="B136" s="51"/>
      <c r="C136" s="51"/>
      <c r="D136" s="51"/>
      <c r="E136" s="51"/>
      <c r="F136" s="51"/>
      <c r="G136" s="51"/>
      <c r="H136" s="51"/>
    </row>
    <row r="137" spans="1:19" ht="12.75" customHeight="1">
      <c r="A137" s="51"/>
      <c r="B137" s="51"/>
      <c r="C137" s="51"/>
      <c r="D137" s="51"/>
      <c r="E137" s="51"/>
      <c r="F137" s="51"/>
      <c r="G137" s="51"/>
      <c r="H137" s="51"/>
    </row>
    <row r="138" spans="1:19" ht="12.75" customHeight="1">
      <c r="A138" s="51"/>
      <c r="B138" s="51"/>
      <c r="C138" s="51"/>
      <c r="D138" s="51"/>
      <c r="E138" s="51"/>
      <c r="F138" s="51"/>
      <c r="G138" s="51"/>
      <c r="H138" s="51"/>
    </row>
    <row r="139" spans="1:19" ht="12.75" customHeight="1">
      <c r="A139" s="51"/>
      <c r="B139" s="51"/>
      <c r="C139" s="51"/>
      <c r="D139" s="51"/>
      <c r="E139" s="51"/>
      <c r="F139" s="51"/>
      <c r="G139" s="51"/>
      <c r="H139" s="51"/>
      <c r="N139" s="495"/>
      <c r="O139" s="496"/>
      <c r="P139" s="324"/>
      <c r="Q139" s="324"/>
      <c r="R139" s="325"/>
      <c r="S139" s="326"/>
    </row>
    <row r="140" spans="1:19" ht="12.75" customHeight="1">
      <c r="A140" s="51"/>
      <c r="B140" s="51"/>
      <c r="C140" s="51"/>
      <c r="D140" s="51"/>
      <c r="E140" s="51"/>
      <c r="F140" s="51"/>
      <c r="G140" s="51"/>
      <c r="H140" s="51"/>
      <c r="N140" s="497"/>
      <c r="O140" s="489"/>
      <c r="P140" s="292"/>
      <c r="Q140" s="292"/>
      <c r="R140" s="318"/>
      <c r="S140" s="327"/>
    </row>
    <row r="141" spans="1:19" ht="12.75" customHeight="1">
      <c r="A141" s="51"/>
      <c r="B141" s="51"/>
      <c r="C141" s="51"/>
      <c r="D141" s="51"/>
      <c r="E141" s="51"/>
      <c r="F141" s="51"/>
      <c r="G141" s="51"/>
      <c r="H141" s="51"/>
      <c r="N141" s="497"/>
      <c r="O141" s="489"/>
      <c r="P141" s="292"/>
      <c r="Q141" s="292"/>
      <c r="R141" s="318"/>
      <c r="S141" s="327"/>
    </row>
    <row r="142" spans="1:19" ht="12.75" customHeight="1">
      <c r="A142" s="51"/>
      <c r="B142" s="51"/>
      <c r="C142" s="51"/>
      <c r="D142" s="51"/>
      <c r="E142" s="51"/>
      <c r="F142" s="51"/>
      <c r="G142" s="51"/>
      <c r="H142" s="51"/>
      <c r="N142" s="497"/>
      <c r="O142" s="489"/>
      <c r="P142" s="292"/>
      <c r="Q142" s="292"/>
      <c r="R142" s="318"/>
      <c r="S142" s="327"/>
    </row>
    <row r="143" spans="1:19" ht="12.75" customHeight="1">
      <c r="A143" s="51"/>
      <c r="B143" s="51"/>
      <c r="C143" s="51"/>
      <c r="D143" s="51"/>
      <c r="E143" s="51"/>
      <c r="F143" s="51"/>
      <c r="G143" s="51"/>
      <c r="H143" s="51"/>
      <c r="N143" s="498"/>
      <c r="O143" s="499"/>
      <c r="P143" s="319"/>
      <c r="Q143" s="328"/>
      <c r="R143" s="320"/>
      <c r="S143" s="327"/>
    </row>
    <row r="144" spans="1:19" ht="12.75" customHeight="1">
      <c r="A144" s="51"/>
      <c r="B144" s="51"/>
      <c r="C144" s="51"/>
      <c r="D144" s="51"/>
      <c r="E144" s="51"/>
      <c r="F144" s="51"/>
      <c r="G144" s="51"/>
      <c r="H144" s="51"/>
      <c r="N144" s="495"/>
      <c r="O144" s="496"/>
      <c r="P144" s="324"/>
      <c r="Q144" s="324"/>
      <c r="R144" s="325"/>
      <c r="S144" s="326"/>
    </row>
    <row r="145" spans="1:19" ht="12.75" customHeight="1">
      <c r="A145" s="51"/>
      <c r="B145" s="51"/>
      <c r="C145" s="51"/>
      <c r="D145" s="51"/>
      <c r="E145" s="51"/>
      <c r="F145" s="51"/>
      <c r="G145" s="51"/>
      <c r="H145" s="51"/>
      <c r="N145" s="497"/>
      <c r="O145" s="489"/>
      <c r="P145" s="292"/>
      <c r="Q145" s="292"/>
      <c r="R145" s="318"/>
      <c r="S145" s="327"/>
    </row>
    <row r="146" spans="1:19" ht="12.75" customHeight="1">
      <c r="A146" s="51"/>
      <c r="B146" s="51"/>
      <c r="C146" s="51"/>
      <c r="D146" s="51"/>
      <c r="E146" s="51"/>
      <c r="F146" s="51"/>
      <c r="G146" s="51"/>
      <c r="H146" s="51"/>
      <c r="N146" s="497"/>
      <c r="O146" s="489"/>
      <c r="P146" s="292"/>
      <c r="Q146" s="292"/>
      <c r="R146" s="318"/>
      <c r="S146" s="327"/>
    </row>
    <row r="147" spans="1:19" ht="12.75" customHeight="1">
      <c r="A147" s="51"/>
      <c r="B147" s="51"/>
      <c r="C147" s="51"/>
      <c r="D147" s="51"/>
      <c r="E147" s="51"/>
      <c r="F147" s="51"/>
      <c r="G147" s="51"/>
      <c r="H147" s="51"/>
      <c r="N147" s="497"/>
      <c r="O147" s="489"/>
      <c r="P147" s="292"/>
      <c r="Q147" s="292"/>
      <c r="R147" s="318"/>
      <c r="S147" s="327"/>
    </row>
    <row r="148" spans="1:19" ht="12.75" customHeight="1">
      <c r="A148" s="51"/>
      <c r="B148" s="51"/>
      <c r="C148" s="51"/>
      <c r="D148" s="51"/>
      <c r="E148" s="51"/>
      <c r="F148" s="51"/>
      <c r="G148" s="51"/>
      <c r="H148" s="51"/>
      <c r="N148" s="498"/>
      <c r="O148" s="499"/>
      <c r="P148" s="319"/>
      <c r="Q148" s="328"/>
      <c r="R148" s="320"/>
      <c r="S148" s="327"/>
    </row>
    <row r="149" spans="1:19" ht="12.75" customHeight="1">
      <c r="A149" s="51"/>
      <c r="B149" s="51"/>
      <c r="C149" s="51"/>
      <c r="D149" s="51"/>
      <c r="E149" s="51"/>
      <c r="F149" s="51"/>
      <c r="G149" s="51"/>
      <c r="H149" s="51"/>
      <c r="N149" s="495"/>
      <c r="O149" s="496"/>
      <c r="P149" s="324"/>
      <c r="Q149" s="324"/>
      <c r="R149" s="325"/>
      <c r="S149" s="326"/>
    </row>
    <row r="150" spans="1:19" ht="12.75" customHeight="1">
      <c r="A150" s="51"/>
      <c r="B150" s="51"/>
      <c r="C150" s="51"/>
      <c r="D150" s="51"/>
      <c r="E150" s="51"/>
      <c r="F150" s="51"/>
      <c r="G150" s="51"/>
      <c r="H150" s="51"/>
      <c r="N150" s="497"/>
      <c r="O150" s="489"/>
      <c r="P150" s="299"/>
      <c r="Q150" s="292"/>
      <c r="R150" s="318"/>
      <c r="S150" s="327"/>
    </row>
    <row r="151" spans="1:19" ht="12.75" customHeight="1">
      <c r="A151" s="51"/>
      <c r="B151" s="51"/>
      <c r="C151" s="51"/>
      <c r="D151" s="51"/>
      <c r="E151" s="51"/>
      <c r="F151" s="51"/>
      <c r="G151" s="51"/>
      <c r="H151" s="51"/>
      <c r="N151" s="497"/>
      <c r="O151" s="489"/>
      <c r="P151" s="299"/>
      <c r="Q151" s="292"/>
      <c r="R151" s="318"/>
      <c r="S151" s="327"/>
    </row>
    <row r="152" spans="1:19" ht="12.75" customHeight="1">
      <c r="A152" s="51"/>
      <c r="B152" s="51"/>
      <c r="C152" s="51"/>
      <c r="D152" s="51"/>
      <c r="E152" s="51"/>
      <c r="F152" s="51"/>
      <c r="G152" s="51"/>
      <c r="H152" s="51"/>
      <c r="N152" s="497"/>
      <c r="O152" s="489"/>
      <c r="P152" s="299"/>
      <c r="Q152" s="292"/>
      <c r="R152" s="318"/>
      <c r="S152" s="327"/>
    </row>
    <row r="153" spans="1:19" ht="12.75" customHeight="1">
      <c r="A153" s="51"/>
      <c r="B153" s="51"/>
      <c r="C153" s="51"/>
      <c r="D153" s="51"/>
      <c r="E153" s="51"/>
      <c r="F153" s="51"/>
      <c r="G153" s="51"/>
      <c r="H153" s="51"/>
      <c r="N153" s="497"/>
      <c r="O153" s="489"/>
      <c r="P153" s="299"/>
      <c r="Q153" s="292"/>
      <c r="R153" s="318"/>
      <c r="S153" s="327"/>
    </row>
    <row r="154" spans="1:19" ht="12.75" customHeight="1">
      <c r="A154" s="51"/>
      <c r="B154" s="51"/>
      <c r="C154" s="51"/>
      <c r="D154" s="51"/>
      <c r="E154" s="51"/>
      <c r="F154" s="51"/>
      <c r="G154" s="51"/>
      <c r="H154" s="51"/>
      <c r="N154" s="497"/>
      <c r="O154" s="489"/>
      <c r="P154" s="299"/>
      <c r="Q154" s="292"/>
      <c r="R154" s="318"/>
      <c r="S154" s="327"/>
    </row>
    <row r="155" spans="1:19" ht="12.75" customHeight="1">
      <c r="A155" s="51"/>
      <c r="B155" s="51"/>
      <c r="C155" s="51"/>
      <c r="D155" s="51"/>
      <c r="E155" s="51"/>
      <c r="F155" s="51"/>
      <c r="G155" s="51"/>
      <c r="H155" s="51"/>
      <c r="N155" s="497"/>
      <c r="O155" s="489"/>
      <c r="P155" s="299"/>
      <c r="Q155" s="292"/>
      <c r="R155" s="329"/>
      <c r="S155" s="330"/>
    </row>
    <row r="156" spans="1:19" ht="12.75" customHeight="1">
      <c r="A156" s="51"/>
      <c r="B156" s="51"/>
      <c r="C156" s="51"/>
      <c r="D156" s="51"/>
      <c r="E156" s="51"/>
      <c r="F156" s="51"/>
      <c r="G156" s="51"/>
      <c r="H156" s="51"/>
      <c r="N156" s="498"/>
      <c r="O156" s="499"/>
      <c r="P156" s="302"/>
      <c r="Q156" s="319"/>
      <c r="R156" s="331"/>
      <c r="S156" s="330"/>
    </row>
    <row r="157" spans="1:19" ht="12.75" customHeight="1">
      <c r="A157" s="51"/>
      <c r="B157" s="51"/>
      <c r="C157" s="51"/>
      <c r="D157" s="51"/>
      <c r="E157" s="51"/>
      <c r="F157" s="51"/>
      <c r="G157" s="51"/>
      <c r="H157" s="51"/>
      <c r="N157" s="495"/>
      <c r="O157" s="496"/>
      <c r="P157" s="324"/>
      <c r="Q157" s="324"/>
      <c r="R157" s="325"/>
      <c r="S157" s="326"/>
    </row>
    <row r="158" spans="1:19" ht="12.75" customHeight="1">
      <c r="A158" s="51"/>
      <c r="B158" s="51"/>
      <c r="C158" s="51"/>
      <c r="D158" s="51"/>
      <c r="E158" s="51"/>
      <c r="F158" s="51"/>
      <c r="G158" s="51"/>
      <c r="H158" s="51"/>
      <c r="N158" s="497"/>
      <c r="O158" s="489"/>
      <c r="P158" s="292"/>
      <c r="Q158" s="292"/>
      <c r="R158" s="318"/>
      <c r="S158" s="327"/>
    </row>
    <row r="159" spans="1:19" ht="12.75" customHeight="1">
      <c r="A159" s="51"/>
      <c r="B159" s="51"/>
      <c r="C159" s="51"/>
      <c r="D159" s="51"/>
      <c r="E159" s="51"/>
      <c r="F159" s="51"/>
      <c r="G159" s="51"/>
      <c r="H159" s="51"/>
      <c r="N159" s="498"/>
      <c r="O159" s="499"/>
      <c r="P159" s="319"/>
      <c r="Q159" s="319"/>
      <c r="R159" s="320"/>
      <c r="S159" s="327"/>
    </row>
  </sheetData>
  <mergeCells count="21">
    <mergeCell ref="N144:O144"/>
    <mergeCell ref="N158:O158"/>
    <mergeCell ref="N159:O159"/>
    <mergeCell ref="N152:O152"/>
    <mergeCell ref="N153:O153"/>
    <mergeCell ref="N154:O154"/>
    <mergeCell ref="N157:O157"/>
    <mergeCell ref="N151:O151"/>
    <mergeCell ref="N155:O155"/>
    <mergeCell ref="N156:O156"/>
    <mergeCell ref="N145:O145"/>
    <mergeCell ref="N146:O146"/>
    <mergeCell ref="N147:O147"/>
    <mergeCell ref="N148:O148"/>
    <mergeCell ref="N149:O149"/>
    <mergeCell ref="N150:O150"/>
    <mergeCell ref="N139:O139"/>
    <mergeCell ref="N140:O140"/>
    <mergeCell ref="N141:O141"/>
    <mergeCell ref="N142:O142"/>
    <mergeCell ref="N143:O143"/>
  </mergeCells>
  <hyperlinks>
    <hyperlink ref="I18" r:id="rId1" xr:uid="{00000000-0004-0000-0500-000000000000}"/>
    <hyperlink ref="I19" r:id="rId2" xr:uid="{00000000-0004-0000-0500-000001000000}"/>
    <hyperlink ref="I20" r:id="rId3" xr:uid="{00000000-0004-0000-0500-000002000000}"/>
    <hyperlink ref="I21" r:id="rId4" xr:uid="{00000000-0004-0000-0500-000003000000}"/>
    <hyperlink ref="I22" r:id="rId5" xr:uid="{00000000-0004-0000-0500-000004000000}"/>
    <hyperlink ref="I23" r:id="rId6" xr:uid="{00000000-0004-0000-0500-000005000000}"/>
    <hyperlink ref="I24" r:id="rId7" xr:uid="{00000000-0004-0000-0500-000006000000}"/>
    <hyperlink ref="I25" r:id="rId8" xr:uid="{00000000-0004-0000-0500-000007000000}"/>
    <hyperlink ref="I26" r:id="rId9" xr:uid="{00000000-0004-0000-0500-000008000000}"/>
    <hyperlink ref="I27" r:id="rId10" xr:uid="{00000000-0004-0000-0500-000009000000}"/>
    <hyperlink ref="I28" r:id="rId11" xr:uid="{00000000-0004-0000-0500-00000A000000}"/>
    <hyperlink ref="I29" r:id="rId12" xr:uid="{00000000-0004-0000-0500-00000B000000}"/>
    <hyperlink ref="I30" r:id="rId13" xr:uid="{00000000-0004-0000-0500-00000C000000}"/>
    <hyperlink ref="I31" r:id="rId14" xr:uid="{00000000-0004-0000-0500-00000D000000}"/>
    <hyperlink ref="I32" r:id="rId15" xr:uid="{00000000-0004-0000-0500-00000E000000}"/>
    <hyperlink ref="I33" r:id="rId16" xr:uid="{00000000-0004-0000-0500-00000F000000}"/>
    <hyperlink ref="I34" r:id="rId17" xr:uid="{00000000-0004-0000-0500-000010000000}"/>
    <hyperlink ref="I35" r:id="rId18" xr:uid="{00000000-0004-0000-0500-000011000000}"/>
    <hyperlink ref="I36" r:id="rId19" xr:uid="{00000000-0004-0000-0500-000012000000}"/>
    <hyperlink ref="I37" r:id="rId20" xr:uid="{00000000-0004-0000-0500-000013000000}"/>
    <hyperlink ref="I38" r:id="rId21" xr:uid="{00000000-0004-0000-0500-000014000000}"/>
    <hyperlink ref="I39" r:id="rId22" xr:uid="{00000000-0004-0000-0500-000015000000}"/>
    <hyperlink ref="I40" r:id="rId23" xr:uid="{00000000-0004-0000-0500-000016000000}"/>
    <hyperlink ref="I41" r:id="rId24" xr:uid="{00000000-0004-0000-0500-000017000000}"/>
    <hyperlink ref="I42" r:id="rId25" xr:uid="{00000000-0004-0000-0500-000018000000}"/>
  </hyperlinks>
  <pageMargins left="0.7" right="0.7" top="0.75" bottom="0.75" header="0" footer="0"/>
  <pageSetup paperSize="9" orientation="portrait"/>
  <legacyDrawing r:id="rId26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AY100"/>
  <sheetViews>
    <sheetView topLeftCell="A4" zoomScale="130" zoomScaleNormal="130" workbookViewId="0">
      <selection activeCell="H12" sqref="H12"/>
    </sheetView>
  </sheetViews>
  <sheetFormatPr defaultColWidth="14.42578125" defaultRowHeight="15" customHeight="1"/>
  <cols>
    <col min="1" max="1" width="8.7109375" customWidth="1"/>
    <col min="2" max="2" width="29.42578125" customWidth="1"/>
    <col min="3" max="4" width="8.7109375" customWidth="1"/>
    <col min="5" max="7" width="8.5703125" customWidth="1"/>
    <col min="8" max="8" width="8.42578125" customWidth="1"/>
    <col min="9" max="9" width="9" customWidth="1"/>
    <col min="10" max="10" width="10" customWidth="1"/>
    <col min="11" max="14" width="8.7109375" customWidth="1"/>
    <col min="15" max="17" width="8.5703125" customWidth="1"/>
    <col min="18" max="18" width="8.42578125" customWidth="1"/>
    <col min="19" max="19" width="8.5703125" customWidth="1"/>
    <col min="20" max="21" width="9.5703125" customWidth="1"/>
    <col min="22" max="22" width="8.7109375" customWidth="1"/>
    <col min="23" max="23" width="6.5703125" customWidth="1"/>
    <col min="24" max="28" width="8.7109375" customWidth="1"/>
    <col min="29" max="29" width="8.5703125" customWidth="1"/>
    <col min="30" max="30" width="8.42578125" customWidth="1"/>
    <col min="31" max="32" width="8.5703125" customWidth="1"/>
    <col min="33" max="36" width="8.7109375" customWidth="1"/>
    <col min="37" max="37" width="8.5703125" customWidth="1"/>
    <col min="38" max="38" width="10.42578125" customWidth="1"/>
    <col min="39" max="39" width="8.5703125" customWidth="1"/>
    <col min="40" max="41" width="9.5703125" customWidth="1"/>
    <col min="42" max="51" width="8.7109375" customWidth="1"/>
  </cols>
  <sheetData>
    <row r="1" spans="2:51" ht="12.75" customHeight="1">
      <c r="B1" s="501"/>
      <c r="C1" s="446"/>
      <c r="D1" s="446"/>
      <c r="E1" s="446"/>
      <c r="F1" s="446"/>
      <c r="G1" s="446"/>
      <c r="H1" s="446"/>
      <c r="I1" s="446"/>
      <c r="J1" s="446"/>
      <c r="K1" s="446"/>
      <c r="L1" s="446"/>
      <c r="M1" s="446"/>
      <c r="N1" s="446"/>
      <c r="O1" s="446"/>
      <c r="P1" s="446"/>
      <c r="Q1" s="446"/>
      <c r="R1" s="446"/>
      <c r="S1" s="446"/>
      <c r="T1" s="446"/>
      <c r="U1" s="2"/>
    </row>
    <row r="2" spans="2:51" ht="12.75" customHeight="1">
      <c r="B2" s="502" t="s">
        <v>519</v>
      </c>
      <c r="C2" s="503"/>
      <c r="D2" s="503"/>
      <c r="E2" s="503"/>
      <c r="F2" s="503"/>
      <c r="G2" s="503"/>
      <c r="H2" s="503"/>
      <c r="I2" s="503"/>
      <c r="J2" s="503"/>
      <c r="K2" s="503"/>
      <c r="L2" s="503"/>
      <c r="M2" s="503"/>
      <c r="N2" s="503"/>
      <c r="O2" s="503"/>
      <c r="P2" s="503"/>
      <c r="Q2" s="503"/>
      <c r="R2" s="503"/>
      <c r="S2" s="503"/>
      <c r="T2" s="504"/>
      <c r="U2" s="1"/>
    </row>
    <row r="3" spans="2:51" ht="12.75" customHeight="1">
      <c r="B3" s="332" t="s">
        <v>520</v>
      </c>
      <c r="C3" s="333" t="s">
        <v>521</v>
      </c>
      <c r="D3" s="333" t="s">
        <v>367</v>
      </c>
      <c r="E3" s="505" t="s">
        <v>522</v>
      </c>
      <c r="F3" s="506"/>
      <c r="G3" s="506"/>
      <c r="H3" s="506"/>
      <c r="I3" s="506"/>
      <c r="J3" s="506"/>
      <c r="K3" s="506"/>
      <c r="L3" s="506"/>
      <c r="M3" s="496"/>
      <c r="N3" s="505" t="s">
        <v>523</v>
      </c>
      <c r="O3" s="506"/>
      <c r="P3" s="506"/>
      <c r="Q3" s="506"/>
      <c r="R3" s="506"/>
      <c r="S3" s="506"/>
      <c r="T3" s="507"/>
      <c r="U3" s="2"/>
    </row>
    <row r="4" spans="2:51" ht="12.75" customHeight="1">
      <c r="B4" s="151"/>
      <c r="C4" s="292"/>
      <c r="D4" s="292"/>
      <c r="E4" s="334" t="s">
        <v>524</v>
      </c>
      <c r="F4" s="334" t="s">
        <v>525</v>
      </c>
      <c r="G4" s="334" t="s">
        <v>526</v>
      </c>
      <c r="H4" s="334" t="s">
        <v>527</v>
      </c>
      <c r="I4" s="256" t="s">
        <v>296</v>
      </c>
      <c r="J4" s="256" t="s">
        <v>297</v>
      </c>
      <c r="K4" s="256" t="s">
        <v>298</v>
      </c>
      <c r="L4" s="256" t="s">
        <v>299</v>
      </c>
      <c r="M4" s="256" t="s">
        <v>300</v>
      </c>
      <c r="N4" s="256" t="s">
        <v>528</v>
      </c>
      <c r="O4" s="256" t="s">
        <v>305</v>
      </c>
      <c r="P4" s="256"/>
      <c r="Q4" s="256"/>
      <c r="R4" s="256" t="s">
        <v>529</v>
      </c>
      <c r="S4" s="256" t="s">
        <v>530</v>
      </c>
      <c r="T4" s="335" t="s">
        <v>531</v>
      </c>
      <c r="U4" s="335" t="s">
        <v>532</v>
      </c>
      <c r="V4" s="335" t="s">
        <v>533</v>
      </c>
      <c r="W4" s="335" t="s">
        <v>534</v>
      </c>
      <c r="X4" s="335" t="s">
        <v>302</v>
      </c>
      <c r="Y4" s="335" t="s">
        <v>535</v>
      </c>
      <c r="Z4" s="336" t="s">
        <v>536</v>
      </c>
      <c r="AA4" s="256" t="s">
        <v>537</v>
      </c>
      <c r="AB4" s="256" t="s">
        <v>538</v>
      </c>
      <c r="AC4" s="256" t="s">
        <v>539</v>
      </c>
      <c r="AD4" s="256" t="s">
        <v>540</v>
      </c>
      <c r="AE4" s="256" t="s">
        <v>541</v>
      </c>
      <c r="AF4" s="256" t="s">
        <v>542</v>
      </c>
      <c r="AG4" s="256" t="s">
        <v>543</v>
      </c>
      <c r="AH4" s="256" t="s">
        <v>544</v>
      </c>
      <c r="AI4" s="256" t="s">
        <v>545</v>
      </c>
      <c r="AJ4" s="256" t="s">
        <v>546</v>
      </c>
      <c r="AK4" s="256" t="s">
        <v>547</v>
      </c>
      <c r="AL4" s="256" t="s">
        <v>548</v>
      </c>
      <c r="AM4" s="256" t="s">
        <v>549</v>
      </c>
      <c r="AN4" s="256" t="s">
        <v>550</v>
      </c>
      <c r="AO4" s="256" t="s">
        <v>551</v>
      </c>
      <c r="AP4" s="256" t="s">
        <v>552</v>
      </c>
      <c r="AQ4" s="256" t="s">
        <v>553</v>
      </c>
      <c r="AR4" s="256" t="s">
        <v>554</v>
      </c>
      <c r="AS4" s="256" t="s">
        <v>555</v>
      </c>
      <c r="AT4" s="256" t="s">
        <v>556</v>
      </c>
      <c r="AU4" s="256" t="s">
        <v>557</v>
      </c>
      <c r="AV4" s="256" t="s">
        <v>558</v>
      </c>
      <c r="AW4" s="256" t="s">
        <v>559</v>
      </c>
      <c r="AX4" s="256" t="s">
        <v>560</v>
      </c>
      <c r="AY4" s="256" t="s">
        <v>561</v>
      </c>
    </row>
    <row r="5" spans="2:51" ht="12.75" customHeight="1">
      <c r="B5" s="151">
        <v>0.8</v>
      </c>
      <c r="C5" s="292">
        <v>1.1000000000000001</v>
      </c>
      <c r="D5" s="292">
        <v>49</v>
      </c>
      <c r="E5" s="292">
        <v>1.3899999999999999E-2</v>
      </c>
      <c r="F5" s="292">
        <v>1.14E-2</v>
      </c>
      <c r="G5" s="292">
        <v>1.01E-2</v>
      </c>
      <c r="H5" s="292">
        <v>3.0000000000000001E-3</v>
      </c>
      <c r="I5" s="292">
        <v>6.3899999999999998E-3</v>
      </c>
      <c r="J5" s="292">
        <v>7.5599999999999999E-3</v>
      </c>
      <c r="K5" s="292">
        <v>8.9999999999999993E-3</v>
      </c>
      <c r="L5" s="292">
        <v>1.0800000000000001E-2</v>
      </c>
      <c r="M5" s="292">
        <v>1.26E-2</v>
      </c>
      <c r="N5" s="292">
        <f t="shared" ref="N5:O5" si="0">0.011*(0.35/I5)+0.34</f>
        <v>0.94250391236306719</v>
      </c>
      <c r="O5" s="292">
        <f t="shared" si="0"/>
        <v>0.84925925925925916</v>
      </c>
      <c r="P5" s="292"/>
      <c r="Q5" s="292"/>
      <c r="R5" s="292">
        <f t="shared" ref="R5:T5" si="1">0.011*(0.35/K5)+0.34</f>
        <v>0.76777777777777789</v>
      </c>
      <c r="S5" s="292">
        <f t="shared" si="1"/>
        <v>0.69648148148148148</v>
      </c>
      <c r="T5" s="318">
        <f t="shared" si="1"/>
        <v>0.64555555555555555</v>
      </c>
      <c r="U5" s="318">
        <v>5.8100000000000001E-3</v>
      </c>
      <c r="V5" s="318">
        <f>0.011*(0.35/U5)+0.34</f>
        <v>1.0026506024096384</v>
      </c>
      <c r="W5" s="318">
        <f t="shared" ref="W5:X5" si="2">0.011*(0.35/I5)+0.34</f>
        <v>0.94250391236306719</v>
      </c>
      <c r="X5" s="318">
        <f t="shared" si="2"/>
        <v>0.84925925925925916</v>
      </c>
      <c r="Y5" s="318">
        <f>0.011*(0.35/U5)+0.34</f>
        <v>1.0026506024096384</v>
      </c>
      <c r="Z5" s="51">
        <f t="shared" ref="Z5:AY5" si="3">Q19/1000</f>
        <v>1.67E-2</v>
      </c>
      <c r="AA5" s="51">
        <f t="shared" si="3"/>
        <v>1.9100000000000002E-2</v>
      </c>
      <c r="AB5" s="51">
        <f t="shared" si="3"/>
        <v>2.0199999999999999E-2</v>
      </c>
      <c r="AC5" s="51">
        <f t="shared" si="3"/>
        <v>2.3E-2</v>
      </c>
      <c r="AD5" s="51">
        <f t="shared" si="3"/>
        <v>2.7100000000000003E-2</v>
      </c>
      <c r="AE5" s="51">
        <f t="shared" si="3"/>
        <v>3.0499999999999999E-2</v>
      </c>
      <c r="AF5" s="51">
        <f t="shared" si="3"/>
        <v>3.61E-2</v>
      </c>
      <c r="AG5" s="51">
        <f t="shared" si="3"/>
        <v>3.9100000000000003E-2</v>
      </c>
      <c r="AH5" s="51">
        <f t="shared" si="3"/>
        <v>2.4300000000000002E-2</v>
      </c>
      <c r="AI5" s="51">
        <f t="shared" si="3"/>
        <v>3.04E-2</v>
      </c>
      <c r="AJ5" s="51">
        <f t="shared" si="3"/>
        <v>3.3299999999999996E-2</v>
      </c>
      <c r="AK5" s="51">
        <f t="shared" si="3"/>
        <v>3.9399999999999998E-2</v>
      </c>
      <c r="AL5" s="51">
        <f t="shared" si="3"/>
        <v>4.07E-2</v>
      </c>
      <c r="AM5" s="51">
        <f t="shared" si="3"/>
        <v>3.4200000000000001E-2</v>
      </c>
      <c r="AN5" s="51">
        <f t="shared" si="3"/>
        <v>3.6499999999999998E-2</v>
      </c>
      <c r="AO5" s="51">
        <f t="shared" si="3"/>
        <v>0.04</v>
      </c>
      <c r="AP5" s="51">
        <f t="shared" si="3"/>
        <v>4.1100000000000005E-2</v>
      </c>
      <c r="AQ5" s="51">
        <f t="shared" si="3"/>
        <v>2.4799999999999999E-2</v>
      </c>
      <c r="AR5" s="51">
        <f t="shared" si="3"/>
        <v>3.0600000000000002E-2</v>
      </c>
      <c r="AS5" s="51">
        <f t="shared" si="3"/>
        <v>3.44E-2</v>
      </c>
      <c r="AT5" s="51">
        <f t="shared" si="3"/>
        <v>3.9E-2</v>
      </c>
      <c r="AU5" s="51">
        <f t="shared" si="3"/>
        <v>4.0600000000000004E-2</v>
      </c>
      <c r="AV5" s="51">
        <f t="shared" si="3"/>
        <v>3.5999999999999997E-2</v>
      </c>
      <c r="AW5" s="51">
        <f t="shared" si="3"/>
        <v>3.8200000000000005E-2</v>
      </c>
      <c r="AX5" s="51">
        <f t="shared" si="3"/>
        <v>4.1799999999999997E-2</v>
      </c>
      <c r="AY5" s="337">
        <f t="shared" si="3"/>
        <v>4.2200000000000001E-2</v>
      </c>
    </row>
    <row r="6" spans="2:51" ht="12.75" customHeight="1">
      <c r="B6" s="498" t="s">
        <v>562</v>
      </c>
      <c r="C6" s="508"/>
      <c r="D6" s="499"/>
      <c r="E6" s="338">
        <f t="shared" ref="E6:M6" si="4">ROUNDUP($B5*$C5*$D5*E5,3)</f>
        <v>0.6</v>
      </c>
      <c r="F6" s="338">
        <f t="shared" si="4"/>
        <v>0.49199999999999999</v>
      </c>
      <c r="G6" s="338">
        <f t="shared" si="4"/>
        <v>0.436</v>
      </c>
      <c r="H6" s="338">
        <f t="shared" si="4"/>
        <v>0.13</v>
      </c>
      <c r="I6" s="338">
        <f t="shared" si="4"/>
        <v>0.27600000000000002</v>
      </c>
      <c r="J6" s="338">
        <f t="shared" si="4"/>
        <v>0.32600000000000001</v>
      </c>
      <c r="K6" s="338">
        <f t="shared" si="4"/>
        <v>0.38900000000000001</v>
      </c>
      <c r="L6" s="338">
        <f t="shared" si="4"/>
        <v>0.46600000000000003</v>
      </c>
      <c r="M6" s="338">
        <f t="shared" si="4"/>
        <v>0.54400000000000004</v>
      </c>
      <c r="N6" s="338">
        <f t="shared" ref="N6:O6" si="5">$B5*$C5*$D5*I5+(3*($B5*$C5*$D5*I5)*N5)</f>
        <v>1.0546203360000002</v>
      </c>
      <c r="O6" s="338">
        <f t="shared" si="5"/>
        <v>1.156530144</v>
      </c>
      <c r="P6" s="338"/>
      <c r="Q6" s="338"/>
      <c r="R6" s="338">
        <f t="shared" ref="R6:T6" si="6">$B5*$C5*$D5*K5+(3*($B5*$C5*$D5*K5)*R5)</f>
        <v>1.2819576000000004</v>
      </c>
      <c r="S6" s="338">
        <f t="shared" si="6"/>
        <v>1.4387419200000002</v>
      </c>
      <c r="T6" s="338">
        <f t="shared" si="6"/>
        <v>1.5955262400000001</v>
      </c>
      <c r="U6" s="338">
        <f>ROUNDUP($B5*$C5*$D5*U5,3)</f>
        <v>0.251</v>
      </c>
      <c r="V6" s="338">
        <f>$B5*$C5*$D5*U5+(1*($B5*$C5*$D5*U5)*V5)</f>
        <v>0.50171844799999998</v>
      </c>
      <c r="W6" s="338">
        <f t="shared" ref="W6:X6" si="7">$B5*$C5*$D5*I5+(1*($B5*$C5*$D5*I5)*W5)</f>
        <v>0.53523131200000007</v>
      </c>
      <c r="X6" s="338">
        <f t="shared" si="7"/>
        <v>0.60283484800000009</v>
      </c>
      <c r="Y6" s="338">
        <f>$B5*$C5*$D5*U5+(3*($B5*$C5*$D5*U5)*V5)</f>
        <v>1.0041009439999999</v>
      </c>
      <c r="Z6" s="338">
        <f t="shared" ref="Z6:AY6" si="8">ROUNDUP($B5*$C5*$D5*Z5,3)</f>
        <v>0.72099999999999997</v>
      </c>
      <c r="AA6" s="338">
        <f t="shared" si="8"/>
        <v>0.82399999999999995</v>
      </c>
      <c r="AB6" s="338">
        <f t="shared" si="8"/>
        <v>0.872</v>
      </c>
      <c r="AC6" s="338">
        <f t="shared" si="8"/>
        <v>0.99199999999999999</v>
      </c>
      <c r="AD6" s="338">
        <f t="shared" si="8"/>
        <v>1.1689999999999998</v>
      </c>
      <c r="AE6" s="338">
        <f t="shared" si="8"/>
        <v>1.3159999999999998</v>
      </c>
      <c r="AF6" s="338">
        <f t="shared" si="8"/>
        <v>1.5569999999999999</v>
      </c>
      <c r="AG6" s="338">
        <f t="shared" si="8"/>
        <v>1.6859999999999999</v>
      </c>
      <c r="AH6" s="338">
        <f t="shared" si="8"/>
        <v>1.0479999999999998</v>
      </c>
      <c r="AI6" s="338">
        <f t="shared" si="8"/>
        <v>1.3109999999999999</v>
      </c>
      <c r="AJ6" s="338">
        <f t="shared" si="8"/>
        <v>1.4359999999999999</v>
      </c>
      <c r="AK6" s="338">
        <f t="shared" si="8"/>
        <v>1.6989999999999998</v>
      </c>
      <c r="AL6" s="338">
        <f t="shared" si="8"/>
        <v>1.7549999999999999</v>
      </c>
      <c r="AM6" s="338">
        <f t="shared" si="8"/>
        <v>1.4749999999999999</v>
      </c>
      <c r="AN6" s="338">
        <f t="shared" si="8"/>
        <v>1.5739999999999998</v>
      </c>
      <c r="AO6" s="338">
        <f t="shared" si="8"/>
        <v>1.7249999999999999</v>
      </c>
      <c r="AP6" s="338">
        <f t="shared" si="8"/>
        <v>1.7729999999999999</v>
      </c>
      <c r="AQ6" s="338">
        <f t="shared" si="8"/>
        <v>1.0699999999999998</v>
      </c>
      <c r="AR6" s="338">
        <f t="shared" si="8"/>
        <v>1.3199999999999998</v>
      </c>
      <c r="AS6" s="338">
        <f t="shared" si="8"/>
        <v>1.484</v>
      </c>
      <c r="AT6" s="338">
        <f t="shared" si="8"/>
        <v>1.6819999999999999</v>
      </c>
      <c r="AU6" s="338">
        <f t="shared" si="8"/>
        <v>1.7509999999999999</v>
      </c>
      <c r="AV6" s="338">
        <f t="shared" si="8"/>
        <v>1.5529999999999999</v>
      </c>
      <c r="AW6" s="338">
        <f t="shared" si="8"/>
        <v>1.6479999999999999</v>
      </c>
      <c r="AX6" s="338">
        <f t="shared" si="8"/>
        <v>1.8029999999999999</v>
      </c>
      <c r="AY6" s="338">
        <f t="shared" si="8"/>
        <v>1.8199999999999998</v>
      </c>
    </row>
    <row r="7" spans="2:51" ht="12.75" customHeight="1"/>
    <row r="8" spans="2:51" ht="12.75" customHeight="1"/>
    <row r="9" spans="2:51" ht="12.75" customHeight="1"/>
    <row r="10" spans="2:51" ht="12.75" customHeight="1"/>
    <row r="11" spans="2:51" ht="12.75" customHeight="1">
      <c r="L11">
        <f>L19/1000</f>
        <v>6.3899999999999998E-3</v>
      </c>
    </row>
    <row r="12" spans="2:51" ht="12.75" customHeight="1"/>
    <row r="13" spans="2:51" ht="12.75" customHeight="1">
      <c r="B13" s="500"/>
      <c r="C13" s="446"/>
      <c r="D13" s="446"/>
      <c r="E13" s="446"/>
      <c r="F13" s="446"/>
      <c r="G13" s="446"/>
      <c r="H13" s="446"/>
      <c r="I13" s="446"/>
      <c r="J13" s="446"/>
      <c r="K13" s="446"/>
      <c r="L13" s="446"/>
      <c r="M13" s="446"/>
      <c r="N13" s="446"/>
      <c r="O13" s="446"/>
      <c r="P13" s="1"/>
      <c r="Q13" s="1"/>
    </row>
    <row r="14" spans="2:51" ht="12.75" customHeight="1">
      <c r="B14" s="105" t="s">
        <v>563</v>
      </c>
      <c r="C14" s="105"/>
      <c r="D14" s="105"/>
      <c r="E14" s="105"/>
      <c r="F14" s="105"/>
      <c r="G14" s="105"/>
      <c r="H14" s="105"/>
      <c r="I14" s="105"/>
      <c r="J14" s="105"/>
      <c r="K14" s="105"/>
      <c r="L14" s="105">
        <v>68.7</v>
      </c>
      <c r="M14" s="105">
        <v>96.1</v>
      </c>
      <c r="N14" s="105">
        <v>136</v>
      </c>
      <c r="O14" s="105">
        <v>194</v>
      </c>
      <c r="P14" s="105">
        <v>261</v>
      </c>
      <c r="Q14" s="105">
        <v>212</v>
      </c>
      <c r="R14" s="105">
        <v>280</v>
      </c>
      <c r="S14" s="105">
        <v>424</v>
      </c>
      <c r="T14" s="105">
        <v>560</v>
      </c>
      <c r="U14" s="105">
        <v>780</v>
      </c>
      <c r="V14" s="339">
        <v>1075</v>
      </c>
      <c r="W14" s="105">
        <v>1440</v>
      </c>
      <c r="X14" s="105">
        <v>1692</v>
      </c>
      <c r="Y14" s="105">
        <v>610</v>
      </c>
      <c r="Z14" s="105">
        <v>790</v>
      </c>
      <c r="AA14" s="105">
        <v>1050</v>
      </c>
      <c r="AB14" s="105">
        <v>1400</v>
      </c>
      <c r="AC14" s="105">
        <v>1680</v>
      </c>
      <c r="AD14" s="105">
        <v>890</v>
      </c>
      <c r="AE14" s="105">
        <v>1140</v>
      </c>
      <c r="AF14" s="105">
        <v>1500</v>
      </c>
      <c r="AG14" s="105">
        <v>1780</v>
      </c>
      <c r="AH14" s="105">
        <v>650</v>
      </c>
      <c r="AI14" s="105">
        <v>820</v>
      </c>
      <c r="AJ14" s="105">
        <v>1070</v>
      </c>
      <c r="AK14" s="105">
        <v>1430</v>
      </c>
      <c r="AL14" s="105">
        <v>1710</v>
      </c>
      <c r="AM14" s="105">
        <v>950</v>
      </c>
      <c r="AN14" s="105">
        <v>1200</v>
      </c>
      <c r="AO14" s="105">
        <v>1550</v>
      </c>
      <c r="AP14" s="105">
        <v>1860</v>
      </c>
    </row>
    <row r="15" spans="2:51" ht="12.75" customHeight="1">
      <c r="B15" s="340" t="s">
        <v>564</v>
      </c>
      <c r="C15" t="s">
        <v>565</v>
      </c>
      <c r="D15" t="s">
        <v>566</v>
      </c>
      <c r="E15" s="341">
        <v>0.28000000000000003</v>
      </c>
      <c r="L15" s="342"/>
      <c r="P15" s="343"/>
      <c r="Q15" s="342"/>
      <c r="AP15" s="343"/>
    </row>
    <row r="16" spans="2:51" ht="12.75" customHeight="1">
      <c r="B16" s="344" t="s">
        <v>567</v>
      </c>
      <c r="C16" s="345" t="s">
        <v>568</v>
      </c>
      <c r="D16" s="125" t="s">
        <v>569</v>
      </c>
      <c r="E16" s="126" t="s">
        <v>570</v>
      </c>
      <c r="F16" s="346" t="s">
        <v>571</v>
      </c>
      <c r="G16" s="347" t="s">
        <v>572</v>
      </c>
      <c r="H16" s="347" t="s">
        <v>573</v>
      </c>
      <c r="I16" s="347" t="s">
        <v>574</v>
      </c>
      <c r="J16" s="348" t="s">
        <v>527</v>
      </c>
      <c r="K16" s="349" t="s">
        <v>575</v>
      </c>
      <c r="L16" s="350" t="s">
        <v>296</v>
      </c>
      <c r="M16" s="130" t="s">
        <v>297</v>
      </c>
      <c r="N16" s="130" t="s">
        <v>298</v>
      </c>
      <c r="O16" s="130" t="s">
        <v>299</v>
      </c>
      <c r="P16" s="131" t="s">
        <v>300</v>
      </c>
      <c r="Q16" s="351" t="s">
        <v>536</v>
      </c>
      <c r="R16" s="352" t="s">
        <v>537</v>
      </c>
      <c r="S16" s="352" t="s">
        <v>538</v>
      </c>
      <c r="T16" s="352" t="s">
        <v>539</v>
      </c>
      <c r="U16" s="352" t="s">
        <v>540</v>
      </c>
      <c r="V16" s="352" t="s">
        <v>541</v>
      </c>
      <c r="W16" s="352" t="s">
        <v>542</v>
      </c>
      <c r="X16" s="352" t="s">
        <v>543</v>
      </c>
      <c r="Y16" s="352" t="s">
        <v>544</v>
      </c>
      <c r="Z16" s="352" t="s">
        <v>545</v>
      </c>
      <c r="AA16" s="352" t="s">
        <v>546</v>
      </c>
      <c r="AB16" s="352" t="s">
        <v>547</v>
      </c>
      <c r="AC16" s="352" t="s">
        <v>548</v>
      </c>
      <c r="AD16" s="352" t="s">
        <v>549</v>
      </c>
      <c r="AE16" s="352" t="s">
        <v>550</v>
      </c>
      <c r="AF16" s="352" t="s">
        <v>551</v>
      </c>
      <c r="AG16" s="352" t="s">
        <v>552</v>
      </c>
      <c r="AH16" s="352" t="s">
        <v>553</v>
      </c>
      <c r="AI16" s="352" t="s">
        <v>554</v>
      </c>
      <c r="AJ16" s="352" t="s">
        <v>555</v>
      </c>
      <c r="AK16" s="352" t="s">
        <v>556</v>
      </c>
      <c r="AL16" s="352" t="s">
        <v>557</v>
      </c>
      <c r="AM16" s="352" t="s">
        <v>558</v>
      </c>
      <c r="AN16" s="352" t="s">
        <v>559</v>
      </c>
      <c r="AO16" s="352" t="s">
        <v>560</v>
      </c>
      <c r="AP16" s="353" t="s">
        <v>561</v>
      </c>
    </row>
    <row r="17" spans="2:42" ht="12.75" customHeight="1">
      <c r="B17" s="354" t="s">
        <v>576</v>
      </c>
      <c r="C17" s="355">
        <v>50</v>
      </c>
      <c r="D17" s="356">
        <v>42</v>
      </c>
      <c r="E17" s="357">
        <v>50</v>
      </c>
      <c r="F17" s="355">
        <v>35</v>
      </c>
      <c r="G17" s="356">
        <v>53</v>
      </c>
      <c r="H17" s="356">
        <v>46.5</v>
      </c>
      <c r="I17" s="356">
        <v>55</v>
      </c>
      <c r="J17" s="357">
        <v>55</v>
      </c>
      <c r="K17" s="357">
        <v>49</v>
      </c>
      <c r="L17" s="357">
        <v>35</v>
      </c>
      <c r="M17" s="357">
        <v>35</v>
      </c>
      <c r="N17" s="357">
        <v>35</v>
      </c>
      <c r="O17" s="357">
        <v>35</v>
      </c>
      <c r="P17" s="357">
        <v>35</v>
      </c>
      <c r="Q17" s="355">
        <v>35</v>
      </c>
      <c r="R17" s="355">
        <v>35</v>
      </c>
      <c r="S17" s="355">
        <v>35</v>
      </c>
      <c r="T17" s="355">
        <v>35</v>
      </c>
      <c r="U17" s="355">
        <v>35</v>
      </c>
      <c r="V17" s="355">
        <v>35</v>
      </c>
      <c r="W17" s="355">
        <v>35</v>
      </c>
      <c r="X17" s="355">
        <v>35</v>
      </c>
      <c r="Y17" s="355">
        <v>35</v>
      </c>
      <c r="Z17" s="355">
        <v>35</v>
      </c>
      <c r="AA17" s="355">
        <v>35</v>
      </c>
      <c r="AB17" s="355">
        <v>35</v>
      </c>
      <c r="AC17" s="355">
        <v>35</v>
      </c>
      <c r="AD17" s="355">
        <v>35</v>
      </c>
      <c r="AE17" s="355">
        <v>35</v>
      </c>
      <c r="AF17" s="355">
        <v>35</v>
      </c>
      <c r="AG17" s="355">
        <v>35</v>
      </c>
      <c r="AH17" s="355">
        <v>35</v>
      </c>
      <c r="AI17" s="355">
        <v>35</v>
      </c>
      <c r="AJ17" s="355">
        <v>35</v>
      </c>
      <c r="AK17" s="355">
        <v>35</v>
      </c>
      <c r="AL17" s="355">
        <v>35</v>
      </c>
      <c r="AM17" s="355">
        <v>35</v>
      </c>
      <c r="AN17" s="355">
        <v>35</v>
      </c>
      <c r="AO17" s="355">
        <v>35</v>
      </c>
      <c r="AP17" s="355">
        <v>35</v>
      </c>
    </row>
    <row r="18" spans="2:42" ht="12.75" customHeight="1">
      <c r="B18" s="358" t="s">
        <v>577</v>
      </c>
      <c r="C18" s="359">
        <v>1</v>
      </c>
      <c r="D18" s="360">
        <v>1.3</v>
      </c>
      <c r="E18" s="361">
        <f>E17*0.02</f>
        <v>1</v>
      </c>
      <c r="F18" s="359">
        <v>1</v>
      </c>
      <c r="G18" s="360">
        <v>1.65</v>
      </c>
      <c r="H18" s="360">
        <v>1.5</v>
      </c>
      <c r="I18" s="360">
        <v>1.2</v>
      </c>
      <c r="J18" s="361">
        <v>1.7</v>
      </c>
      <c r="K18" s="361">
        <v>1.5</v>
      </c>
      <c r="L18" s="362">
        <v>1</v>
      </c>
      <c r="M18" s="272">
        <v>1</v>
      </c>
      <c r="N18" s="272">
        <v>1</v>
      </c>
      <c r="O18" s="272">
        <v>1</v>
      </c>
      <c r="P18" s="363">
        <v>1</v>
      </c>
      <c r="Q18" s="362">
        <v>0.9</v>
      </c>
      <c r="R18" s="272">
        <v>0.90700000000000003</v>
      </c>
      <c r="S18" s="272">
        <v>1</v>
      </c>
      <c r="T18" s="272">
        <v>1.6</v>
      </c>
      <c r="U18" s="272">
        <v>1.65</v>
      </c>
      <c r="V18" s="272">
        <v>1.7</v>
      </c>
      <c r="W18" s="272">
        <v>1.1499999999999999</v>
      </c>
      <c r="X18" s="272">
        <v>1.1499999999999999</v>
      </c>
      <c r="Y18" s="272">
        <v>1.1499999999999999</v>
      </c>
      <c r="Z18" s="272">
        <v>1.1499999999999999</v>
      </c>
      <c r="AA18" s="272">
        <v>1.1499999999999999</v>
      </c>
      <c r="AB18" s="272">
        <v>1.1499999999999999</v>
      </c>
      <c r="AC18" s="272">
        <v>1.1499999999999999</v>
      </c>
      <c r="AD18" s="272">
        <v>1.1499999999999999</v>
      </c>
      <c r="AE18" s="272">
        <v>1.1499999999999999</v>
      </c>
      <c r="AF18" s="272">
        <v>1.1499999999999999</v>
      </c>
      <c r="AG18" s="272">
        <v>1.1499999999999999</v>
      </c>
      <c r="AH18" s="272">
        <v>1.1499999999999999</v>
      </c>
      <c r="AI18" s="272">
        <v>1.1499999999999999</v>
      </c>
      <c r="AJ18" s="272">
        <v>1.1499999999999999</v>
      </c>
      <c r="AK18" s="272">
        <v>1.1499999999999999</v>
      </c>
      <c r="AL18" s="272">
        <v>1.1499999999999999</v>
      </c>
      <c r="AM18" s="272">
        <v>1.1499999999999999</v>
      </c>
      <c r="AN18" s="272">
        <v>1.1499999999999999</v>
      </c>
      <c r="AO18" s="272">
        <v>1.1499999999999999</v>
      </c>
      <c r="AP18" s="363">
        <v>1.1499999999999999</v>
      </c>
    </row>
    <row r="19" spans="2:42" ht="12.75" customHeight="1">
      <c r="B19" s="364" t="s">
        <v>578</v>
      </c>
      <c r="C19" s="364">
        <v>7.5</v>
      </c>
      <c r="D19" s="2">
        <v>12</v>
      </c>
      <c r="E19" s="365">
        <v>14.5</v>
      </c>
      <c r="F19" s="364">
        <v>10.1</v>
      </c>
      <c r="G19" s="2">
        <v>10.1</v>
      </c>
      <c r="H19" s="2">
        <v>11.4</v>
      </c>
      <c r="I19" s="2">
        <v>13.9</v>
      </c>
      <c r="J19" s="366" t="s">
        <v>579</v>
      </c>
      <c r="K19" s="367" t="s">
        <v>580</v>
      </c>
      <c r="L19" s="364">
        <v>6.39</v>
      </c>
      <c r="M19" s="2">
        <v>7.56</v>
      </c>
      <c r="N19" s="2">
        <v>9</v>
      </c>
      <c r="O19" s="2">
        <v>10.85</v>
      </c>
      <c r="P19" s="365">
        <v>12.6</v>
      </c>
      <c r="Q19" s="364">
        <v>16.7</v>
      </c>
      <c r="R19" s="2">
        <v>19.100000000000001</v>
      </c>
      <c r="S19" s="2">
        <v>20.2</v>
      </c>
      <c r="T19" s="2">
        <v>23</v>
      </c>
      <c r="U19" s="2">
        <v>27.1</v>
      </c>
      <c r="V19" s="2">
        <v>30.5</v>
      </c>
      <c r="W19" s="2">
        <v>36.1</v>
      </c>
      <c r="X19" s="2">
        <v>39.1</v>
      </c>
      <c r="Y19" s="2">
        <v>24.3</v>
      </c>
      <c r="Z19" s="2">
        <v>30.4</v>
      </c>
      <c r="AA19" s="2">
        <v>33.299999999999997</v>
      </c>
      <c r="AB19" s="2">
        <v>39.4</v>
      </c>
      <c r="AC19" s="2">
        <v>40.700000000000003</v>
      </c>
      <c r="AD19" s="2">
        <v>34.200000000000003</v>
      </c>
      <c r="AE19" s="2">
        <v>36.5</v>
      </c>
      <c r="AF19" s="2">
        <v>40</v>
      </c>
      <c r="AG19" s="2">
        <v>41.1</v>
      </c>
      <c r="AH19" s="2">
        <v>24.8</v>
      </c>
      <c r="AI19" s="2">
        <v>30.6</v>
      </c>
      <c r="AJ19" s="2">
        <v>34.4</v>
      </c>
      <c r="AK19" s="2">
        <v>39</v>
      </c>
      <c r="AL19" s="2">
        <v>40.6</v>
      </c>
      <c r="AM19" s="2">
        <v>36</v>
      </c>
      <c r="AN19" s="2">
        <v>38.200000000000003</v>
      </c>
      <c r="AO19" s="2">
        <v>41.8</v>
      </c>
      <c r="AP19" s="365">
        <v>42.2</v>
      </c>
    </row>
    <row r="20" spans="2:42" ht="12.75" customHeight="1">
      <c r="B20" s="368" t="s">
        <v>581</v>
      </c>
      <c r="C20" s="364">
        <v>0.6</v>
      </c>
      <c r="D20" s="2">
        <v>1.8</v>
      </c>
      <c r="E20" s="365">
        <v>2.42</v>
      </c>
      <c r="F20" s="364">
        <v>0.96</v>
      </c>
      <c r="G20" s="2">
        <v>0.81</v>
      </c>
      <c r="H20" s="2">
        <v>1.02</v>
      </c>
      <c r="I20" s="2">
        <v>1.47</v>
      </c>
      <c r="J20" s="365">
        <v>7.8E-2</v>
      </c>
      <c r="K20" s="365">
        <v>0.37</v>
      </c>
      <c r="L20" s="369">
        <f t="shared" ref="L20:AP20" si="9">(L14/1000)*10</f>
        <v>0.68699999999999994</v>
      </c>
      <c r="M20" s="369">
        <f t="shared" si="9"/>
        <v>0.96099999999999985</v>
      </c>
      <c r="N20" s="369">
        <f t="shared" si="9"/>
        <v>1.36</v>
      </c>
      <c r="O20" s="369">
        <f t="shared" si="9"/>
        <v>1.94</v>
      </c>
      <c r="P20" s="369">
        <f t="shared" si="9"/>
        <v>2.6100000000000003</v>
      </c>
      <c r="Q20" s="369">
        <f t="shared" si="9"/>
        <v>2.12</v>
      </c>
      <c r="R20" s="369">
        <f t="shared" si="9"/>
        <v>2.8000000000000003</v>
      </c>
      <c r="S20" s="369">
        <f t="shared" si="9"/>
        <v>4.24</v>
      </c>
      <c r="T20" s="369">
        <f t="shared" si="9"/>
        <v>5.6000000000000005</v>
      </c>
      <c r="U20" s="369">
        <f t="shared" si="9"/>
        <v>7.8000000000000007</v>
      </c>
      <c r="V20" s="369">
        <f t="shared" si="9"/>
        <v>10.75</v>
      </c>
      <c r="W20" s="369">
        <f t="shared" si="9"/>
        <v>14.399999999999999</v>
      </c>
      <c r="X20" s="369">
        <f t="shared" si="9"/>
        <v>16.919999999999998</v>
      </c>
      <c r="Y20" s="369">
        <f t="shared" si="9"/>
        <v>6.1</v>
      </c>
      <c r="Z20" s="369">
        <f t="shared" si="9"/>
        <v>7.9</v>
      </c>
      <c r="AA20" s="369">
        <f t="shared" si="9"/>
        <v>10.5</v>
      </c>
      <c r="AB20" s="369">
        <f t="shared" si="9"/>
        <v>14</v>
      </c>
      <c r="AC20" s="369">
        <f t="shared" si="9"/>
        <v>16.8</v>
      </c>
      <c r="AD20" s="369">
        <f t="shared" si="9"/>
        <v>8.9</v>
      </c>
      <c r="AE20" s="369">
        <f t="shared" si="9"/>
        <v>11.399999999999999</v>
      </c>
      <c r="AF20" s="369">
        <f t="shared" si="9"/>
        <v>15</v>
      </c>
      <c r="AG20" s="369">
        <f t="shared" si="9"/>
        <v>17.8</v>
      </c>
      <c r="AH20" s="369">
        <f t="shared" si="9"/>
        <v>6.5</v>
      </c>
      <c r="AI20" s="369">
        <f t="shared" si="9"/>
        <v>8.1999999999999993</v>
      </c>
      <c r="AJ20" s="369">
        <f t="shared" si="9"/>
        <v>10.700000000000001</v>
      </c>
      <c r="AK20" s="369">
        <f t="shared" si="9"/>
        <v>14.299999999999999</v>
      </c>
      <c r="AL20" s="369">
        <f t="shared" si="9"/>
        <v>17.100000000000001</v>
      </c>
      <c r="AM20" s="369">
        <f t="shared" si="9"/>
        <v>9.5</v>
      </c>
      <c r="AN20" s="369">
        <f t="shared" si="9"/>
        <v>12</v>
      </c>
      <c r="AO20" s="369">
        <f t="shared" si="9"/>
        <v>15.5</v>
      </c>
      <c r="AP20" s="369">
        <f t="shared" si="9"/>
        <v>18.600000000000001</v>
      </c>
    </row>
    <row r="21" spans="2:42" ht="12.75" customHeight="1">
      <c r="B21" s="368" t="s">
        <v>582</v>
      </c>
      <c r="C21" s="364">
        <f t="shared" ref="C21:AP21" si="10">$E$15*10+$E$15*C19</f>
        <v>4.9000000000000004</v>
      </c>
      <c r="D21" s="2">
        <f t="shared" si="10"/>
        <v>6.16</v>
      </c>
      <c r="E21" s="365">
        <f t="shared" si="10"/>
        <v>6.8600000000000012</v>
      </c>
      <c r="F21" s="364">
        <f t="shared" si="10"/>
        <v>5.6280000000000001</v>
      </c>
      <c r="G21" s="2">
        <f t="shared" si="10"/>
        <v>5.6280000000000001</v>
      </c>
      <c r="H21" s="2">
        <f t="shared" si="10"/>
        <v>5.9920000000000009</v>
      </c>
      <c r="I21" s="2">
        <f t="shared" si="10"/>
        <v>6.6920000000000002</v>
      </c>
      <c r="J21" s="365">
        <f t="shared" si="10"/>
        <v>3.6400000000000006</v>
      </c>
      <c r="K21" s="366">
        <f t="shared" si="10"/>
        <v>5.2360000000000007</v>
      </c>
      <c r="L21" s="364">
        <f t="shared" si="10"/>
        <v>4.5891999999999999</v>
      </c>
      <c r="M21" s="2">
        <f t="shared" si="10"/>
        <v>4.9168000000000003</v>
      </c>
      <c r="N21" s="2">
        <f t="shared" si="10"/>
        <v>5.32</v>
      </c>
      <c r="O21" s="2">
        <f t="shared" si="10"/>
        <v>5.838000000000001</v>
      </c>
      <c r="P21" s="365">
        <f t="shared" si="10"/>
        <v>6.3280000000000003</v>
      </c>
      <c r="Q21" s="365">
        <f t="shared" si="10"/>
        <v>7.4760000000000009</v>
      </c>
      <c r="R21" s="365">
        <f t="shared" si="10"/>
        <v>8.1480000000000015</v>
      </c>
      <c r="S21" s="365">
        <f t="shared" si="10"/>
        <v>8.4560000000000013</v>
      </c>
      <c r="T21" s="365">
        <f t="shared" si="10"/>
        <v>9.24</v>
      </c>
      <c r="U21" s="365">
        <f t="shared" si="10"/>
        <v>10.388000000000002</v>
      </c>
      <c r="V21" s="365">
        <f t="shared" si="10"/>
        <v>11.340000000000002</v>
      </c>
      <c r="W21" s="365">
        <f t="shared" si="10"/>
        <v>12.908000000000001</v>
      </c>
      <c r="X21" s="365">
        <f t="shared" si="10"/>
        <v>13.748000000000003</v>
      </c>
      <c r="Y21" s="365">
        <f t="shared" si="10"/>
        <v>9.604000000000001</v>
      </c>
      <c r="Z21" s="365">
        <f t="shared" si="10"/>
        <v>11.312000000000001</v>
      </c>
      <c r="AA21" s="365">
        <f t="shared" si="10"/>
        <v>12.124000000000001</v>
      </c>
      <c r="AB21" s="365">
        <f t="shared" si="10"/>
        <v>13.832000000000001</v>
      </c>
      <c r="AC21" s="365">
        <f t="shared" si="10"/>
        <v>14.196000000000003</v>
      </c>
      <c r="AD21" s="365">
        <f t="shared" si="10"/>
        <v>12.376000000000003</v>
      </c>
      <c r="AE21" s="365">
        <f t="shared" si="10"/>
        <v>13.020000000000001</v>
      </c>
      <c r="AF21" s="365">
        <f t="shared" si="10"/>
        <v>14.000000000000002</v>
      </c>
      <c r="AG21" s="365">
        <f t="shared" si="10"/>
        <v>14.308000000000002</v>
      </c>
      <c r="AH21" s="365">
        <f t="shared" si="10"/>
        <v>9.7440000000000015</v>
      </c>
      <c r="AI21" s="365">
        <f t="shared" si="10"/>
        <v>11.368000000000002</v>
      </c>
      <c r="AJ21" s="365">
        <f t="shared" si="10"/>
        <v>12.432</v>
      </c>
      <c r="AK21" s="365">
        <f t="shared" si="10"/>
        <v>13.720000000000002</v>
      </c>
      <c r="AL21" s="365">
        <f t="shared" si="10"/>
        <v>14.168000000000003</v>
      </c>
      <c r="AM21" s="365">
        <f t="shared" si="10"/>
        <v>12.880000000000003</v>
      </c>
      <c r="AN21" s="365">
        <f t="shared" si="10"/>
        <v>13.496000000000002</v>
      </c>
      <c r="AO21" s="365">
        <f t="shared" si="10"/>
        <v>14.504000000000001</v>
      </c>
      <c r="AP21" s="365">
        <f t="shared" si="10"/>
        <v>14.616000000000003</v>
      </c>
    </row>
    <row r="22" spans="2:42" ht="12.75" customHeight="1">
      <c r="B22" s="368" t="s">
        <v>583</v>
      </c>
      <c r="C22" s="364">
        <f t="shared" ref="C22:AP22" si="11">C21+C20</f>
        <v>5.5</v>
      </c>
      <c r="D22" s="2">
        <f t="shared" si="11"/>
        <v>7.96</v>
      </c>
      <c r="E22" s="365">
        <f t="shared" si="11"/>
        <v>9.2800000000000011</v>
      </c>
      <c r="F22" s="364">
        <f t="shared" si="11"/>
        <v>6.5880000000000001</v>
      </c>
      <c r="G22" s="2">
        <f t="shared" si="11"/>
        <v>6.4380000000000006</v>
      </c>
      <c r="H22" s="2">
        <f t="shared" si="11"/>
        <v>7.0120000000000005</v>
      </c>
      <c r="I22" s="2">
        <f t="shared" si="11"/>
        <v>8.1620000000000008</v>
      </c>
      <c r="J22" s="365">
        <f t="shared" si="11"/>
        <v>3.7180000000000004</v>
      </c>
      <c r="K22" s="365">
        <f t="shared" si="11"/>
        <v>5.6060000000000008</v>
      </c>
      <c r="L22" s="369">
        <f t="shared" si="11"/>
        <v>5.2762000000000002</v>
      </c>
      <c r="M22" s="370">
        <f t="shared" si="11"/>
        <v>5.8778000000000006</v>
      </c>
      <c r="N22" s="370">
        <f t="shared" si="11"/>
        <v>6.6800000000000006</v>
      </c>
      <c r="O22" s="370">
        <f t="shared" si="11"/>
        <v>7.7780000000000005</v>
      </c>
      <c r="P22" s="371">
        <f t="shared" si="11"/>
        <v>8.9380000000000006</v>
      </c>
      <c r="Q22" s="371">
        <f t="shared" si="11"/>
        <v>9.5960000000000001</v>
      </c>
      <c r="R22" s="371">
        <f t="shared" si="11"/>
        <v>10.948000000000002</v>
      </c>
      <c r="S22" s="371">
        <f t="shared" si="11"/>
        <v>12.696000000000002</v>
      </c>
      <c r="T22" s="371">
        <f t="shared" si="11"/>
        <v>14.84</v>
      </c>
      <c r="U22" s="371">
        <f t="shared" si="11"/>
        <v>18.188000000000002</v>
      </c>
      <c r="V22" s="371">
        <f t="shared" si="11"/>
        <v>22.090000000000003</v>
      </c>
      <c r="W22" s="371">
        <f t="shared" si="11"/>
        <v>27.308</v>
      </c>
      <c r="X22" s="371">
        <f t="shared" si="11"/>
        <v>30.667999999999999</v>
      </c>
      <c r="Y22" s="371">
        <f t="shared" si="11"/>
        <v>15.704000000000001</v>
      </c>
      <c r="Z22" s="371">
        <f t="shared" si="11"/>
        <v>19.212000000000003</v>
      </c>
      <c r="AA22" s="371">
        <f t="shared" si="11"/>
        <v>22.624000000000002</v>
      </c>
      <c r="AB22" s="371">
        <f t="shared" si="11"/>
        <v>27.832000000000001</v>
      </c>
      <c r="AC22" s="371">
        <f t="shared" si="11"/>
        <v>30.996000000000002</v>
      </c>
      <c r="AD22" s="371">
        <f t="shared" si="11"/>
        <v>21.276000000000003</v>
      </c>
      <c r="AE22" s="371">
        <f t="shared" si="11"/>
        <v>24.42</v>
      </c>
      <c r="AF22" s="371">
        <f t="shared" si="11"/>
        <v>29</v>
      </c>
      <c r="AG22" s="371">
        <f t="shared" si="11"/>
        <v>32.108000000000004</v>
      </c>
      <c r="AH22" s="371">
        <f t="shared" si="11"/>
        <v>16.244</v>
      </c>
      <c r="AI22" s="371">
        <f t="shared" si="11"/>
        <v>19.568000000000001</v>
      </c>
      <c r="AJ22" s="371">
        <f t="shared" si="11"/>
        <v>23.132000000000001</v>
      </c>
      <c r="AK22" s="371">
        <f t="shared" si="11"/>
        <v>28.020000000000003</v>
      </c>
      <c r="AL22" s="371">
        <f t="shared" si="11"/>
        <v>31.268000000000004</v>
      </c>
      <c r="AM22" s="371">
        <f t="shared" si="11"/>
        <v>22.380000000000003</v>
      </c>
      <c r="AN22" s="371">
        <f t="shared" si="11"/>
        <v>25.496000000000002</v>
      </c>
      <c r="AO22" s="371">
        <f t="shared" si="11"/>
        <v>30.004000000000001</v>
      </c>
      <c r="AP22" s="371">
        <f t="shared" si="11"/>
        <v>33.216000000000008</v>
      </c>
    </row>
    <row r="23" spans="2:42" ht="12.75" customHeight="1">
      <c r="B23" s="368" t="s">
        <v>584</v>
      </c>
      <c r="C23" s="364">
        <v>7</v>
      </c>
      <c r="D23" s="2">
        <v>7</v>
      </c>
      <c r="E23" s="365">
        <v>7</v>
      </c>
      <c r="F23" s="364">
        <f t="shared" ref="F23:J23" si="12">3.14*POWER(F19/2,2)</f>
        <v>80.077849999999998</v>
      </c>
      <c r="G23" s="2">
        <f t="shared" si="12"/>
        <v>80.077849999999998</v>
      </c>
      <c r="H23" s="2">
        <f t="shared" si="12"/>
        <v>102.01860000000001</v>
      </c>
      <c r="I23" s="2">
        <f t="shared" si="12"/>
        <v>151.66985000000003</v>
      </c>
      <c r="J23" s="365">
        <f t="shared" si="12"/>
        <v>7.0650000000000004</v>
      </c>
      <c r="K23" s="365">
        <v>43.5</v>
      </c>
      <c r="L23" s="364">
        <v>24.94</v>
      </c>
      <c r="M23" s="2">
        <v>34.909999999999997</v>
      </c>
      <c r="N23" s="2">
        <v>49.48</v>
      </c>
      <c r="O23" s="2">
        <v>70.27</v>
      </c>
      <c r="P23" s="365">
        <v>94.76</v>
      </c>
      <c r="Q23" s="364">
        <v>49.86</v>
      </c>
      <c r="R23" s="2">
        <v>69.8</v>
      </c>
      <c r="S23" s="2">
        <v>99.72</v>
      </c>
      <c r="T23" s="2">
        <v>139.6</v>
      </c>
      <c r="U23" s="2">
        <v>200.4</v>
      </c>
      <c r="V23" s="2">
        <v>278.36</v>
      </c>
      <c r="W23" s="2">
        <v>378.88</v>
      </c>
      <c r="X23" s="2">
        <v>481.2</v>
      </c>
      <c r="Y23" s="2">
        <v>139.6</v>
      </c>
      <c r="Z23" s="2">
        <v>200.4</v>
      </c>
      <c r="AA23" s="2">
        <v>278.36</v>
      </c>
      <c r="AB23" s="2">
        <v>378.88</v>
      </c>
      <c r="AC23" s="2">
        <v>481.2</v>
      </c>
      <c r="AD23" s="2">
        <v>200.4</v>
      </c>
      <c r="AE23" s="2">
        <v>278.36</v>
      </c>
      <c r="AF23" s="2">
        <v>378.88</v>
      </c>
      <c r="AG23" s="2">
        <v>481.2</v>
      </c>
      <c r="AH23" s="2">
        <v>139.6</v>
      </c>
      <c r="AI23" s="2">
        <v>200.4</v>
      </c>
      <c r="AJ23" s="2">
        <v>278.36</v>
      </c>
      <c r="AK23" s="2">
        <v>378.88</v>
      </c>
      <c r="AL23" s="2">
        <v>481.2</v>
      </c>
      <c r="AM23" s="2">
        <v>200.4</v>
      </c>
      <c r="AN23" s="2">
        <v>278.36</v>
      </c>
      <c r="AO23" s="2">
        <v>378.88</v>
      </c>
      <c r="AP23" s="365">
        <v>481.2</v>
      </c>
    </row>
    <row r="24" spans="2:42" ht="12.75" customHeight="1">
      <c r="B24" s="368" t="s">
        <v>585</v>
      </c>
      <c r="C24" s="364">
        <f t="shared" ref="C24:AP24" si="13">ROUND(C22/C23,4)</f>
        <v>0.78569999999999995</v>
      </c>
      <c r="D24" s="2">
        <f t="shared" si="13"/>
        <v>1.1371</v>
      </c>
      <c r="E24" s="365">
        <f t="shared" si="13"/>
        <v>1.3257000000000001</v>
      </c>
      <c r="F24" s="364">
        <f t="shared" si="13"/>
        <v>8.2299999999999998E-2</v>
      </c>
      <c r="G24" s="2">
        <f t="shared" si="13"/>
        <v>8.0399999999999999E-2</v>
      </c>
      <c r="H24" s="2">
        <f t="shared" si="13"/>
        <v>6.8699999999999997E-2</v>
      </c>
      <c r="I24" s="2">
        <f t="shared" si="13"/>
        <v>5.3800000000000001E-2</v>
      </c>
      <c r="J24" s="365">
        <f t="shared" si="13"/>
        <v>0.52629999999999999</v>
      </c>
      <c r="K24" s="365">
        <f t="shared" si="13"/>
        <v>0.12889999999999999</v>
      </c>
      <c r="L24" s="364">
        <f t="shared" si="13"/>
        <v>0.21160000000000001</v>
      </c>
      <c r="M24" s="2">
        <f t="shared" si="13"/>
        <v>0.16839999999999999</v>
      </c>
      <c r="N24" s="2">
        <f t="shared" si="13"/>
        <v>0.13500000000000001</v>
      </c>
      <c r="O24" s="2">
        <f t="shared" si="13"/>
        <v>0.11070000000000001</v>
      </c>
      <c r="P24" s="365">
        <f t="shared" si="13"/>
        <v>9.4299999999999995E-2</v>
      </c>
      <c r="Q24" s="364">
        <f t="shared" si="13"/>
        <v>0.1925</v>
      </c>
      <c r="R24" s="2">
        <f t="shared" si="13"/>
        <v>0.15679999999999999</v>
      </c>
      <c r="S24" s="2">
        <f t="shared" si="13"/>
        <v>0.1273</v>
      </c>
      <c r="T24" s="2">
        <f t="shared" si="13"/>
        <v>0.10630000000000001</v>
      </c>
      <c r="U24" s="2">
        <f t="shared" si="13"/>
        <v>9.0800000000000006E-2</v>
      </c>
      <c r="V24" s="2">
        <f t="shared" si="13"/>
        <v>7.9399999999999998E-2</v>
      </c>
      <c r="W24" s="2">
        <f t="shared" si="13"/>
        <v>7.2099999999999997E-2</v>
      </c>
      <c r="X24" s="2">
        <f t="shared" si="13"/>
        <v>6.3700000000000007E-2</v>
      </c>
      <c r="Y24" s="2">
        <f t="shared" si="13"/>
        <v>0.1125</v>
      </c>
      <c r="Z24" s="2">
        <f t="shared" si="13"/>
        <v>9.5899999999999999E-2</v>
      </c>
      <c r="AA24" s="2">
        <f t="shared" si="13"/>
        <v>8.1299999999999997E-2</v>
      </c>
      <c r="AB24" s="2">
        <f t="shared" si="13"/>
        <v>7.3499999999999996E-2</v>
      </c>
      <c r="AC24" s="2">
        <f t="shared" si="13"/>
        <v>6.4399999999999999E-2</v>
      </c>
      <c r="AD24" s="2">
        <f t="shared" si="13"/>
        <v>0.1062</v>
      </c>
      <c r="AE24" s="2">
        <f t="shared" si="13"/>
        <v>8.77E-2</v>
      </c>
      <c r="AF24" s="2">
        <f t="shared" si="13"/>
        <v>7.6499999999999999E-2</v>
      </c>
      <c r="AG24" s="2">
        <f t="shared" si="13"/>
        <v>6.6699999999999995E-2</v>
      </c>
      <c r="AH24" s="2">
        <f t="shared" si="13"/>
        <v>0.1164</v>
      </c>
      <c r="AI24" s="2">
        <f t="shared" si="13"/>
        <v>9.7600000000000006E-2</v>
      </c>
      <c r="AJ24" s="2">
        <f t="shared" si="13"/>
        <v>8.3099999999999993E-2</v>
      </c>
      <c r="AK24" s="2">
        <f t="shared" si="13"/>
        <v>7.3999999999999996E-2</v>
      </c>
      <c r="AL24" s="2">
        <f t="shared" si="13"/>
        <v>6.5000000000000002E-2</v>
      </c>
      <c r="AM24" s="2">
        <f t="shared" si="13"/>
        <v>0.11169999999999999</v>
      </c>
      <c r="AN24" s="2">
        <f t="shared" si="13"/>
        <v>9.1600000000000001E-2</v>
      </c>
      <c r="AO24" s="2">
        <f t="shared" si="13"/>
        <v>7.9200000000000007E-2</v>
      </c>
      <c r="AP24" s="365">
        <f t="shared" si="13"/>
        <v>6.9000000000000006E-2</v>
      </c>
    </row>
    <row r="25" spans="2:42" ht="12.75" customHeight="1">
      <c r="B25" s="372" t="s">
        <v>586</v>
      </c>
      <c r="C25" s="373">
        <f t="shared" ref="C25:AP25" si="14">ROUND(((C17*C17*C24)/(8*C18)),4)</f>
        <v>245.53129999999999</v>
      </c>
      <c r="D25" s="374">
        <f t="shared" si="14"/>
        <v>192.86969999999999</v>
      </c>
      <c r="E25" s="375">
        <f t="shared" si="14"/>
        <v>414.28129999999999</v>
      </c>
      <c r="F25" s="373">
        <f t="shared" si="14"/>
        <v>12.6022</v>
      </c>
      <c r="G25" s="374">
        <f t="shared" si="14"/>
        <v>17.109400000000001</v>
      </c>
      <c r="H25" s="374">
        <f t="shared" si="14"/>
        <v>12.3789</v>
      </c>
      <c r="I25" s="374">
        <f t="shared" si="14"/>
        <v>16.9526</v>
      </c>
      <c r="J25" s="375">
        <f t="shared" si="14"/>
        <v>117.06310000000001</v>
      </c>
      <c r="K25" s="375">
        <f t="shared" si="14"/>
        <v>25.790700000000001</v>
      </c>
      <c r="L25" s="376">
        <f t="shared" si="14"/>
        <v>32.401299999999999</v>
      </c>
      <c r="M25" s="377">
        <f t="shared" si="14"/>
        <v>25.786300000000001</v>
      </c>
      <c r="N25" s="377">
        <f t="shared" si="14"/>
        <v>20.671900000000001</v>
      </c>
      <c r="O25" s="377">
        <f t="shared" si="14"/>
        <v>16.950900000000001</v>
      </c>
      <c r="P25" s="375">
        <f t="shared" si="14"/>
        <v>14.4397</v>
      </c>
      <c r="Q25" s="373">
        <f t="shared" si="14"/>
        <v>32.7517</v>
      </c>
      <c r="R25" s="374">
        <f t="shared" si="14"/>
        <v>26.471900000000002</v>
      </c>
      <c r="S25" s="374">
        <f t="shared" si="14"/>
        <v>19.492799999999999</v>
      </c>
      <c r="T25" s="374">
        <f t="shared" si="14"/>
        <v>10.1732</v>
      </c>
      <c r="U25" s="374">
        <f t="shared" si="14"/>
        <v>8.4265000000000008</v>
      </c>
      <c r="V25" s="374">
        <f t="shared" si="14"/>
        <v>7.1517999999999997</v>
      </c>
      <c r="W25" s="374">
        <f t="shared" si="14"/>
        <v>9.6003000000000007</v>
      </c>
      <c r="X25" s="374">
        <f t="shared" si="14"/>
        <v>8.4817999999999998</v>
      </c>
      <c r="Y25" s="374">
        <f t="shared" si="14"/>
        <v>14.9796</v>
      </c>
      <c r="Z25" s="374">
        <f t="shared" si="14"/>
        <v>12.769299999999999</v>
      </c>
      <c r="AA25" s="374">
        <f t="shared" si="14"/>
        <v>10.8253</v>
      </c>
      <c r="AB25" s="374">
        <f t="shared" si="14"/>
        <v>9.7866999999999997</v>
      </c>
      <c r="AC25" s="374">
        <f t="shared" si="14"/>
        <v>8.5749999999999993</v>
      </c>
      <c r="AD25" s="374">
        <f t="shared" si="14"/>
        <v>14.1408</v>
      </c>
      <c r="AE25" s="374">
        <f t="shared" si="14"/>
        <v>11.6774</v>
      </c>
      <c r="AF25" s="374">
        <f t="shared" si="14"/>
        <v>10.1861</v>
      </c>
      <c r="AG25" s="374">
        <f t="shared" si="14"/>
        <v>8.8812999999999995</v>
      </c>
      <c r="AH25" s="374">
        <f t="shared" si="14"/>
        <v>15.498900000000001</v>
      </c>
      <c r="AI25" s="374">
        <f t="shared" si="14"/>
        <v>12.995699999999999</v>
      </c>
      <c r="AJ25" s="374">
        <f t="shared" si="14"/>
        <v>11.0649</v>
      </c>
      <c r="AK25" s="374">
        <f t="shared" si="14"/>
        <v>9.8533000000000008</v>
      </c>
      <c r="AL25" s="374">
        <f t="shared" si="14"/>
        <v>8.6548999999999996</v>
      </c>
      <c r="AM25" s="374">
        <f t="shared" si="14"/>
        <v>14.873100000000001</v>
      </c>
      <c r="AN25" s="374">
        <f t="shared" si="14"/>
        <v>12.1967</v>
      </c>
      <c r="AO25" s="374">
        <f t="shared" si="14"/>
        <v>10.5457</v>
      </c>
      <c r="AP25" s="375">
        <f t="shared" si="14"/>
        <v>9.1875</v>
      </c>
    </row>
    <row r="26" spans="2:42" ht="12.75" customHeight="1">
      <c r="B26" s="378" t="s">
        <v>587</v>
      </c>
      <c r="C26" s="379">
        <f t="shared" ref="C26:AP26" si="15">C25*C23*0.1</f>
        <v>171.87190999999999</v>
      </c>
      <c r="D26" s="380">
        <f t="shared" si="15"/>
        <v>135.00879</v>
      </c>
      <c r="E26" s="381">
        <f t="shared" si="15"/>
        <v>289.99691000000001</v>
      </c>
      <c r="F26" s="379">
        <f t="shared" si="15"/>
        <v>100.915708127</v>
      </c>
      <c r="G26" s="380">
        <f t="shared" si="15"/>
        <v>137.00839667900001</v>
      </c>
      <c r="H26" s="380">
        <f t="shared" si="15"/>
        <v>126.28780475400002</v>
      </c>
      <c r="I26" s="380">
        <f t="shared" si="15"/>
        <v>257.11982991100007</v>
      </c>
      <c r="J26" s="381">
        <f t="shared" si="15"/>
        <v>82.705080150000015</v>
      </c>
      <c r="K26" s="381">
        <f t="shared" si="15"/>
        <v>112.18954500000001</v>
      </c>
      <c r="L26" s="382">
        <f t="shared" si="15"/>
        <v>80.808842200000015</v>
      </c>
      <c r="M26" s="383">
        <f t="shared" si="15"/>
        <v>90.019973300000004</v>
      </c>
      <c r="N26" s="383">
        <f t="shared" si="15"/>
        <v>102.2845612</v>
      </c>
      <c r="O26" s="383">
        <f t="shared" si="15"/>
        <v>119.1139743</v>
      </c>
      <c r="P26" s="381">
        <f t="shared" si="15"/>
        <v>136.83059720000003</v>
      </c>
      <c r="Q26" s="373">
        <f t="shared" si="15"/>
        <v>163.2999762</v>
      </c>
      <c r="R26" s="374">
        <f t="shared" si="15"/>
        <v>184.77386200000001</v>
      </c>
      <c r="S26" s="374">
        <f t="shared" si="15"/>
        <v>194.3822016</v>
      </c>
      <c r="T26" s="374">
        <f t="shared" si="15"/>
        <v>142.01787199999998</v>
      </c>
      <c r="U26" s="374">
        <f t="shared" si="15"/>
        <v>168.86706000000004</v>
      </c>
      <c r="V26" s="374">
        <f t="shared" si="15"/>
        <v>199.07750480000001</v>
      </c>
      <c r="W26" s="374">
        <f t="shared" si="15"/>
        <v>363.7361664</v>
      </c>
      <c r="X26" s="374">
        <f t="shared" si="15"/>
        <v>408.14421599999997</v>
      </c>
      <c r="Y26" s="374">
        <f t="shared" si="15"/>
        <v>209.11521599999998</v>
      </c>
      <c r="Z26" s="374">
        <f t="shared" si="15"/>
        <v>255.89677200000003</v>
      </c>
      <c r="AA26" s="374">
        <f t="shared" si="15"/>
        <v>301.33305080000008</v>
      </c>
      <c r="AB26" s="374">
        <f t="shared" si="15"/>
        <v>370.79848960000004</v>
      </c>
      <c r="AC26" s="374">
        <f t="shared" si="15"/>
        <v>412.62900000000002</v>
      </c>
      <c r="AD26" s="374">
        <f t="shared" si="15"/>
        <v>283.38163200000002</v>
      </c>
      <c r="AE26" s="374">
        <f t="shared" si="15"/>
        <v>325.05210640000007</v>
      </c>
      <c r="AF26" s="374">
        <f t="shared" si="15"/>
        <v>385.93095679999999</v>
      </c>
      <c r="AG26" s="374">
        <f t="shared" si="15"/>
        <v>427.368156</v>
      </c>
      <c r="AH26" s="374">
        <f t="shared" si="15"/>
        <v>216.364644</v>
      </c>
      <c r="AI26" s="374">
        <f t="shared" si="15"/>
        <v>260.43382800000001</v>
      </c>
      <c r="AJ26" s="374">
        <f t="shared" si="15"/>
        <v>308.0025564</v>
      </c>
      <c r="AK26" s="374">
        <f t="shared" si="15"/>
        <v>373.32183040000007</v>
      </c>
      <c r="AL26" s="374">
        <f t="shared" si="15"/>
        <v>416.47378800000001</v>
      </c>
      <c r="AM26" s="374">
        <f t="shared" si="15"/>
        <v>298.05692400000004</v>
      </c>
      <c r="AN26" s="374">
        <f t="shared" si="15"/>
        <v>339.50734120000004</v>
      </c>
      <c r="AO26" s="374">
        <f t="shared" si="15"/>
        <v>399.55548160000001</v>
      </c>
      <c r="AP26" s="375">
        <f t="shared" si="15"/>
        <v>442.10249999999996</v>
      </c>
    </row>
    <row r="27" spans="2:42" ht="12.75" customHeight="1">
      <c r="B27" s="384" t="s">
        <v>588</v>
      </c>
      <c r="C27" s="385">
        <f t="shared" ref="C27:E27" si="16">C26*5/8</f>
        <v>107.41994374999999</v>
      </c>
      <c r="D27" s="105">
        <f t="shared" si="16"/>
        <v>84.380493749999999</v>
      </c>
      <c r="E27" s="105">
        <f t="shared" si="16"/>
        <v>181.24806875000002</v>
      </c>
      <c r="F27" s="385">
        <f t="shared" ref="F27:AP27" si="17">F26*6.9/8</f>
        <v>87.039798259537505</v>
      </c>
      <c r="G27" s="105">
        <f t="shared" si="17"/>
        <v>118.16974213563752</v>
      </c>
      <c r="H27" s="105">
        <f t="shared" si="17"/>
        <v>108.92323160032502</v>
      </c>
      <c r="I27" s="105">
        <f t="shared" si="17"/>
        <v>221.76585329823757</v>
      </c>
      <c r="J27" s="386">
        <f t="shared" si="17"/>
        <v>71.333131629375018</v>
      </c>
      <c r="K27" s="386">
        <f t="shared" si="17"/>
        <v>96.763482562500016</v>
      </c>
      <c r="L27" s="386">
        <f t="shared" si="17"/>
        <v>69.697626397500017</v>
      </c>
      <c r="M27" s="386">
        <f t="shared" si="17"/>
        <v>77.642226971250011</v>
      </c>
      <c r="N27" s="386">
        <f t="shared" si="17"/>
        <v>88.220434034999997</v>
      </c>
      <c r="O27" s="386">
        <f t="shared" si="17"/>
        <v>102.73580283375</v>
      </c>
      <c r="P27" s="386">
        <f t="shared" si="17"/>
        <v>118.01639008500003</v>
      </c>
      <c r="Q27" s="386">
        <f t="shared" si="17"/>
        <v>140.8462294725</v>
      </c>
      <c r="R27" s="386">
        <f t="shared" si="17"/>
        <v>159.36745597500001</v>
      </c>
      <c r="S27" s="386">
        <f t="shared" si="17"/>
        <v>167.65464888</v>
      </c>
      <c r="T27" s="386">
        <f t="shared" si="17"/>
        <v>122.49041459999999</v>
      </c>
      <c r="U27" s="386">
        <f t="shared" si="17"/>
        <v>145.64783925000003</v>
      </c>
      <c r="V27" s="386">
        <f t="shared" si="17"/>
        <v>171.70434789000001</v>
      </c>
      <c r="W27" s="386">
        <f t="shared" si="17"/>
        <v>313.72244352000001</v>
      </c>
      <c r="X27" s="386">
        <f t="shared" si="17"/>
        <v>352.0243863</v>
      </c>
      <c r="Y27" s="386">
        <f t="shared" si="17"/>
        <v>180.36187379999998</v>
      </c>
      <c r="Z27" s="386">
        <f t="shared" si="17"/>
        <v>220.71096585000004</v>
      </c>
      <c r="AA27" s="386">
        <f t="shared" si="17"/>
        <v>259.8997563150001</v>
      </c>
      <c r="AB27" s="386">
        <f t="shared" si="17"/>
        <v>319.81369728000004</v>
      </c>
      <c r="AC27" s="386">
        <f t="shared" si="17"/>
        <v>355.89251250000001</v>
      </c>
      <c r="AD27" s="386">
        <f t="shared" si="17"/>
        <v>244.41665760000004</v>
      </c>
      <c r="AE27" s="386">
        <f t="shared" si="17"/>
        <v>280.35744177000009</v>
      </c>
      <c r="AF27" s="386">
        <f t="shared" si="17"/>
        <v>332.86545024000003</v>
      </c>
      <c r="AG27" s="386">
        <f t="shared" si="17"/>
        <v>368.60503455000003</v>
      </c>
      <c r="AH27" s="386">
        <f t="shared" si="17"/>
        <v>186.61450545</v>
      </c>
      <c r="AI27" s="386">
        <f t="shared" si="17"/>
        <v>224.62417665000001</v>
      </c>
      <c r="AJ27" s="386">
        <f t="shared" si="17"/>
        <v>265.65220489500001</v>
      </c>
      <c r="AK27" s="386">
        <f t="shared" si="17"/>
        <v>321.9900787200001</v>
      </c>
      <c r="AL27" s="386">
        <f t="shared" si="17"/>
        <v>359.20864215</v>
      </c>
      <c r="AM27" s="386">
        <f t="shared" si="17"/>
        <v>257.07409695000007</v>
      </c>
      <c r="AN27" s="386">
        <f t="shared" si="17"/>
        <v>292.82508178500007</v>
      </c>
      <c r="AO27" s="386">
        <f t="shared" si="17"/>
        <v>344.61660288000002</v>
      </c>
      <c r="AP27" s="386">
        <f t="shared" si="17"/>
        <v>381.31340625000001</v>
      </c>
    </row>
    <row r="28" spans="2:42" ht="12.75" customHeight="1">
      <c r="B28" s="387" t="s">
        <v>589</v>
      </c>
      <c r="C28" s="388">
        <f>(C17*C17*C24)/(8*C25*1000000)</f>
        <v>9.9999979635997509E-7</v>
      </c>
      <c r="D28" s="388">
        <f t="shared" ref="D28:I28" si="18">(D17*D17*D24)/(8*2000/D23)</f>
        <v>0.87755692499999993</v>
      </c>
      <c r="E28" s="388">
        <f t="shared" si="18"/>
        <v>1.4499843750000001</v>
      </c>
      <c r="F28" s="388">
        <f t="shared" si="18"/>
        <v>0.50457804014843755</v>
      </c>
      <c r="G28" s="389">
        <f t="shared" si="18"/>
        <v>1.1303168702662501</v>
      </c>
      <c r="H28" s="389">
        <f t="shared" si="18"/>
        <v>0.94715710101843742</v>
      </c>
      <c r="I28" s="389">
        <f t="shared" si="18"/>
        <v>1.5427193586406254</v>
      </c>
      <c r="J28" s="390">
        <f>(J17*J17*J24)/(8*800/J23)</f>
        <v>1.7574822246093749</v>
      </c>
      <c r="K28" s="390">
        <f t="shared" ref="K28:AP28" si="19">(K17*K17*K24)/(8*1300/K23)</f>
        <v>1.2944968413461537</v>
      </c>
      <c r="L28" s="390">
        <f t="shared" si="19"/>
        <v>0.62160551923076934</v>
      </c>
      <c r="M28" s="390">
        <f t="shared" si="19"/>
        <v>0.69245999038461525</v>
      </c>
      <c r="N28" s="390">
        <f t="shared" si="19"/>
        <v>0.78680336538461537</v>
      </c>
      <c r="O28" s="390">
        <f t="shared" si="19"/>
        <v>0.91626336778846174</v>
      </c>
      <c r="P28" s="390">
        <f t="shared" si="19"/>
        <v>1.0525421442307692</v>
      </c>
      <c r="Q28" s="390">
        <f t="shared" si="19"/>
        <v>1.1305395432692309</v>
      </c>
      <c r="R28" s="390">
        <f t="shared" si="19"/>
        <v>1.2891523076923077</v>
      </c>
      <c r="S28" s="390">
        <f t="shared" si="19"/>
        <v>1.4952486634615385</v>
      </c>
      <c r="T28" s="390">
        <f t="shared" si="19"/>
        <v>1.7479195192307693</v>
      </c>
      <c r="U28" s="390">
        <f t="shared" si="19"/>
        <v>2.1433165384615385</v>
      </c>
      <c r="V28" s="390">
        <f t="shared" si="19"/>
        <v>2.6033351346153846</v>
      </c>
      <c r="W28" s="390">
        <f t="shared" si="19"/>
        <v>3.2176566153846147</v>
      </c>
      <c r="X28" s="390">
        <f t="shared" si="19"/>
        <v>3.6105037500000003</v>
      </c>
      <c r="Y28" s="390">
        <f t="shared" si="19"/>
        <v>1.8498677884615384</v>
      </c>
      <c r="Z28" s="390">
        <f t="shared" si="19"/>
        <v>2.2637010576923076</v>
      </c>
      <c r="AA28" s="390">
        <f t="shared" si="19"/>
        <v>2.6656315673076922</v>
      </c>
      <c r="AB28" s="390">
        <f t="shared" si="19"/>
        <v>3.280135384615384</v>
      </c>
      <c r="AC28" s="390">
        <f t="shared" si="19"/>
        <v>3.6501796153846153</v>
      </c>
      <c r="AD28" s="390">
        <f t="shared" si="19"/>
        <v>2.5068305769230772</v>
      </c>
      <c r="AE28" s="390">
        <f t="shared" si="19"/>
        <v>2.8754721826923078</v>
      </c>
      <c r="AF28" s="390">
        <f t="shared" si="19"/>
        <v>3.4140184615384608</v>
      </c>
      <c r="AG28" s="390">
        <f t="shared" si="19"/>
        <v>3.7805431730769228</v>
      </c>
      <c r="AH28" s="390">
        <f t="shared" si="19"/>
        <v>1.9139965384615385</v>
      </c>
      <c r="AI28" s="390">
        <f t="shared" si="19"/>
        <v>2.3038292307692312</v>
      </c>
      <c r="AJ28" s="390">
        <f t="shared" si="19"/>
        <v>2.7246492403846152</v>
      </c>
      <c r="AK28" s="390">
        <f t="shared" si="19"/>
        <v>3.3024492307692301</v>
      </c>
      <c r="AL28" s="390">
        <f t="shared" si="19"/>
        <v>3.6841874999999997</v>
      </c>
      <c r="AM28" s="390">
        <f t="shared" si="19"/>
        <v>2.636657019230769</v>
      </c>
      <c r="AN28" s="390">
        <f t="shared" si="19"/>
        <v>3.0033438076923078</v>
      </c>
      <c r="AO28" s="390">
        <f t="shared" si="19"/>
        <v>3.5345132307692309</v>
      </c>
      <c r="AP28" s="390">
        <f t="shared" si="19"/>
        <v>3.9109067307692307</v>
      </c>
    </row>
    <row r="29" spans="2:42" ht="12.75" customHeight="1"/>
    <row r="30" spans="2:42" ht="12.75" customHeight="1"/>
    <row r="31" spans="2:42" ht="12.75" customHeight="1"/>
    <row r="32" spans="2:4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</sheetData>
  <mergeCells count="6">
    <mergeCell ref="B13:O13"/>
    <mergeCell ref="B1:T1"/>
    <mergeCell ref="B2:T2"/>
    <mergeCell ref="E3:M3"/>
    <mergeCell ref="N3:T3"/>
    <mergeCell ref="B6:D6"/>
  </mergeCells>
  <pageMargins left="0.70866141732283472" right="0.70866141732283472" top="0.74803149606299213" bottom="0.74803149606299213" header="0" footer="0"/>
  <pageSetup paperSize="8"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21"/>
  <sheetViews>
    <sheetView topLeftCell="A70" zoomScale="70" zoomScaleNormal="70" workbookViewId="0">
      <selection activeCell="G72" sqref="G72"/>
    </sheetView>
  </sheetViews>
  <sheetFormatPr defaultColWidth="14.42578125" defaultRowHeight="21" customHeight="1" outlineLevelRow="1"/>
  <cols>
    <col min="1" max="1" width="6.5703125" customWidth="1"/>
    <col min="2" max="2" width="30" customWidth="1"/>
    <col min="3" max="3" width="12.42578125" customWidth="1"/>
    <col min="4" max="4" width="14.5703125" customWidth="1"/>
    <col min="5" max="5" width="16.42578125" customWidth="1"/>
    <col min="6" max="6" width="12.42578125" customWidth="1"/>
    <col min="7" max="7" width="26.85546875" customWidth="1"/>
    <col min="8" max="8" width="22.85546875" customWidth="1"/>
    <col min="9" max="9" width="12.7109375" customWidth="1"/>
    <col min="10" max="10" width="9.42578125" customWidth="1"/>
    <col min="11" max="12" width="19.140625" customWidth="1"/>
    <col min="13" max="13" width="17.28515625" customWidth="1"/>
    <col min="14" max="14" width="15" customWidth="1"/>
    <col min="15" max="15" width="14.5703125" customWidth="1"/>
    <col min="16" max="16" width="17.28515625" customWidth="1"/>
    <col min="17" max="18" width="6.140625" customWidth="1"/>
    <col min="19" max="19" width="13.5703125" customWidth="1"/>
    <col min="20" max="20" width="16.42578125" customWidth="1"/>
    <col min="21" max="21" width="11.42578125" customWidth="1"/>
    <col min="22" max="22" width="12" customWidth="1"/>
    <col min="23" max="23" width="8.42578125" customWidth="1"/>
    <col min="24" max="39" width="8.7109375" customWidth="1"/>
  </cols>
  <sheetData>
    <row r="1" spans="1:39" ht="21" customHeight="1">
      <c r="B1" s="1" t="s">
        <v>0</v>
      </c>
      <c r="C1" s="2"/>
      <c r="D1" s="2"/>
      <c r="E1" s="1"/>
      <c r="F1" s="3"/>
      <c r="G1" s="4"/>
      <c r="H1" s="4"/>
      <c r="I1" s="4"/>
      <c r="J1" s="4"/>
      <c r="K1" s="475" t="s">
        <v>1</v>
      </c>
      <c r="L1" s="446"/>
      <c r="M1" s="5"/>
    </row>
    <row r="2" spans="1:39" ht="21" customHeight="1" thickBot="1">
      <c r="A2" s="5"/>
      <c r="B2" s="3" t="s">
        <v>2</v>
      </c>
      <c r="C2" s="4" t="s">
        <v>3</v>
      </c>
      <c r="D2" s="4" t="s">
        <v>4</v>
      </c>
      <c r="E2" s="3" t="s">
        <v>5</v>
      </c>
      <c r="F2" s="3"/>
      <c r="G2" s="3" t="s">
        <v>6</v>
      </c>
      <c r="H2" s="5"/>
      <c r="I2" s="5"/>
      <c r="J2" s="5" t="s">
        <v>7</v>
      </c>
      <c r="K2" s="3" t="s">
        <v>8</v>
      </c>
      <c r="L2" s="3" t="s">
        <v>9</v>
      </c>
      <c r="M2" s="5"/>
      <c r="N2" s="5"/>
      <c r="O2" s="5"/>
      <c r="P2" s="5"/>
      <c r="Q2" s="6" t="s">
        <v>10</v>
      </c>
      <c r="R2" s="6" t="s">
        <v>11</v>
      </c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 spans="1:39" ht="21" customHeight="1" thickTop="1" thickBot="1">
      <c r="A3" s="7" t="s">
        <v>12</v>
      </c>
      <c r="B3" s="8">
        <f t="shared" ref="B3:B4" si="0">IF(ISBLANK(E44),0,K44)</f>
        <v>0</v>
      </c>
      <c r="C3" s="9">
        <f t="shared" ref="C3:C4" si="1">F44</f>
        <v>0</v>
      </c>
      <c r="D3" s="9">
        <f t="shared" ref="D3:D18" si="2">IF(C3="odciągowe",B3,0)</f>
        <v>0</v>
      </c>
      <c r="E3" s="8">
        <f t="shared" ref="E3:E4" si="3">IF(ISBLANK(E44),0,G44)</f>
        <v>0</v>
      </c>
      <c r="F3" s="10"/>
      <c r="G3" s="3">
        <f t="shared" ref="G3:G41" si="4">RADIANS(E3)</f>
        <v>0</v>
      </c>
      <c r="H3" s="5">
        <v>1</v>
      </c>
      <c r="I3" s="5"/>
      <c r="J3" s="5">
        <f t="shared" ref="J3:J35" si="5">SIN(G3)</f>
        <v>0</v>
      </c>
      <c r="K3" s="11">
        <f t="shared" ref="K3:K35" si="6">ROUND(COS(G3)*B3,3)</f>
        <v>0</v>
      </c>
      <c r="L3" s="12">
        <f t="shared" ref="L3:L35" si="7">ROUND(SIN(G3)*B3,3)</f>
        <v>0</v>
      </c>
      <c r="M3" s="4">
        <f t="shared" ref="M3:M34" si="8">DEGREES(G3)</f>
        <v>0</v>
      </c>
      <c r="N3" s="2">
        <v>0</v>
      </c>
      <c r="O3" s="2">
        <v>0</v>
      </c>
      <c r="Q3" s="1">
        <f t="shared" ref="Q3:R3" si="9">ABS(K3)</f>
        <v>0</v>
      </c>
      <c r="R3" s="1">
        <f t="shared" si="9"/>
        <v>0</v>
      </c>
    </row>
    <row r="4" spans="1:39" ht="21" customHeight="1" thickTop="1" thickBot="1">
      <c r="A4" s="13" t="s">
        <v>13</v>
      </c>
      <c r="B4" s="8">
        <f t="shared" si="0"/>
        <v>0</v>
      </c>
      <c r="C4" s="9">
        <f t="shared" si="1"/>
        <v>0</v>
      </c>
      <c r="D4" s="9">
        <f t="shared" si="2"/>
        <v>0</v>
      </c>
      <c r="E4" s="8">
        <f t="shared" si="3"/>
        <v>0</v>
      </c>
      <c r="F4" s="10"/>
      <c r="G4" s="3">
        <f t="shared" si="4"/>
        <v>0</v>
      </c>
      <c r="H4" s="5">
        <v>1</v>
      </c>
      <c r="I4" s="5"/>
      <c r="J4" s="5">
        <f t="shared" si="5"/>
        <v>0</v>
      </c>
      <c r="K4" s="11">
        <f t="shared" si="6"/>
        <v>0</v>
      </c>
      <c r="L4" s="12">
        <f t="shared" si="7"/>
        <v>0</v>
      </c>
      <c r="M4" s="4">
        <f t="shared" si="8"/>
        <v>0</v>
      </c>
      <c r="N4" s="2">
        <v>0</v>
      </c>
      <c r="O4" s="2">
        <v>0</v>
      </c>
      <c r="Q4" s="1">
        <f t="shared" ref="Q4:R4" si="10">ABS(K4)</f>
        <v>0</v>
      </c>
      <c r="R4" s="1">
        <f t="shared" si="10"/>
        <v>0</v>
      </c>
    </row>
    <row r="5" spans="1:39" ht="21" customHeight="1" thickTop="1" thickBot="1">
      <c r="A5" s="13" t="s">
        <v>14</v>
      </c>
      <c r="B5" s="8">
        <f>IF(ISBLANK(E47),0,K47)</f>
        <v>0</v>
      </c>
      <c r="C5" s="9">
        <f>F47</f>
        <v>0</v>
      </c>
      <c r="D5" s="9">
        <f t="shared" si="2"/>
        <v>0</v>
      </c>
      <c r="E5" s="8">
        <f>IF(ISBLANK(E47),0,G47)</f>
        <v>0</v>
      </c>
      <c r="F5" s="10"/>
      <c r="G5" s="3">
        <f t="shared" si="4"/>
        <v>0</v>
      </c>
      <c r="H5" s="5">
        <v>1</v>
      </c>
      <c r="I5" s="5"/>
      <c r="J5" s="5">
        <f t="shared" si="5"/>
        <v>0</v>
      </c>
      <c r="K5" s="11">
        <f t="shared" si="6"/>
        <v>0</v>
      </c>
      <c r="L5" s="12">
        <f t="shared" si="7"/>
        <v>0</v>
      </c>
      <c r="M5" s="4">
        <f t="shared" si="8"/>
        <v>0</v>
      </c>
      <c r="N5" s="2">
        <v>0</v>
      </c>
      <c r="O5" s="2">
        <v>0</v>
      </c>
      <c r="Q5" s="1">
        <f t="shared" ref="Q5:R5" si="11">ABS(K5)</f>
        <v>0</v>
      </c>
      <c r="R5" s="1">
        <f t="shared" si="11"/>
        <v>0</v>
      </c>
    </row>
    <row r="6" spans="1:39" ht="21" customHeight="1" thickTop="1" thickBot="1">
      <c r="A6" s="13" t="s">
        <v>15</v>
      </c>
      <c r="B6" s="8">
        <f>IF(ISBLANK(E48),0,K48)</f>
        <v>0</v>
      </c>
      <c r="C6" s="9">
        <f>F48</f>
        <v>0</v>
      </c>
      <c r="D6" s="9">
        <f t="shared" ref="D6" si="12">IF(C6="odciągowe",B6,0)</f>
        <v>0</v>
      </c>
      <c r="E6" s="8">
        <f>IF(ISBLANK(E48),0,G48)</f>
        <v>0</v>
      </c>
      <c r="F6" s="10"/>
      <c r="G6" s="3">
        <f t="shared" si="4"/>
        <v>0</v>
      </c>
      <c r="H6" s="5">
        <v>1</v>
      </c>
      <c r="I6" s="5"/>
      <c r="J6" s="5">
        <f t="shared" si="5"/>
        <v>0</v>
      </c>
      <c r="K6" s="11">
        <f t="shared" si="6"/>
        <v>0</v>
      </c>
      <c r="L6" s="12">
        <f t="shared" si="7"/>
        <v>0</v>
      </c>
      <c r="M6" s="4">
        <f t="shared" si="8"/>
        <v>0</v>
      </c>
      <c r="N6" s="2">
        <v>0</v>
      </c>
      <c r="O6" s="2">
        <v>0</v>
      </c>
      <c r="Q6" s="1">
        <f t="shared" ref="Q6:R6" si="13">ABS(K6)</f>
        <v>0</v>
      </c>
      <c r="R6" s="1">
        <f t="shared" si="13"/>
        <v>0</v>
      </c>
    </row>
    <row r="7" spans="1:39" ht="21" customHeight="1" thickTop="1" thickBot="1">
      <c r="A7" s="13" t="s">
        <v>16</v>
      </c>
      <c r="B7" s="8">
        <f t="shared" ref="B7:B34" si="14">IF(ISBLANK(E48),0,K48)</f>
        <v>0</v>
      </c>
      <c r="C7" s="9">
        <f t="shared" ref="C7:C34" si="15">F48</f>
        <v>0</v>
      </c>
      <c r="D7" s="9">
        <f t="shared" si="2"/>
        <v>0</v>
      </c>
      <c r="E7" s="8">
        <f t="shared" ref="E7:E34" si="16">IF(ISBLANK(E48),0,G48)</f>
        <v>0</v>
      </c>
      <c r="F7" s="10"/>
      <c r="G7" s="3">
        <f t="shared" si="4"/>
        <v>0</v>
      </c>
      <c r="H7" s="5">
        <v>1</v>
      </c>
      <c r="I7" s="5"/>
      <c r="J7" s="5">
        <f t="shared" si="5"/>
        <v>0</v>
      </c>
      <c r="K7" s="11">
        <f t="shared" si="6"/>
        <v>0</v>
      </c>
      <c r="L7" s="12">
        <f t="shared" si="7"/>
        <v>0</v>
      </c>
      <c r="M7" s="4">
        <f t="shared" si="8"/>
        <v>0</v>
      </c>
      <c r="N7" s="2">
        <v>0</v>
      </c>
      <c r="O7" s="2">
        <v>0</v>
      </c>
      <c r="Q7" s="1">
        <f t="shared" ref="Q7:R7" si="17">ABS(K7)</f>
        <v>0</v>
      </c>
      <c r="R7" s="1">
        <f t="shared" si="17"/>
        <v>0</v>
      </c>
    </row>
    <row r="8" spans="1:39" ht="21" customHeight="1" thickTop="1" thickBot="1">
      <c r="A8" s="13" t="s">
        <v>17</v>
      </c>
      <c r="B8" s="8">
        <f t="shared" si="14"/>
        <v>0</v>
      </c>
      <c r="C8" s="9">
        <f t="shared" si="15"/>
        <v>0</v>
      </c>
      <c r="D8" s="9">
        <f t="shared" si="2"/>
        <v>0</v>
      </c>
      <c r="E8" s="8">
        <f t="shared" si="16"/>
        <v>0</v>
      </c>
      <c r="F8" s="10"/>
      <c r="G8" s="3">
        <f t="shared" si="4"/>
        <v>0</v>
      </c>
      <c r="H8" s="5">
        <v>1</v>
      </c>
      <c r="I8" s="5"/>
      <c r="J8" s="5">
        <f t="shared" si="5"/>
        <v>0</v>
      </c>
      <c r="K8" s="11">
        <f t="shared" si="6"/>
        <v>0</v>
      </c>
      <c r="L8" s="12">
        <f t="shared" si="7"/>
        <v>0</v>
      </c>
      <c r="M8" s="4">
        <f t="shared" si="8"/>
        <v>0</v>
      </c>
      <c r="N8" s="2">
        <v>0</v>
      </c>
      <c r="O8" s="2">
        <v>0</v>
      </c>
      <c r="Q8" s="1">
        <f t="shared" ref="Q8:R8" si="18">ABS(K8)</f>
        <v>0</v>
      </c>
      <c r="R8" s="1">
        <f t="shared" si="18"/>
        <v>0</v>
      </c>
    </row>
    <row r="9" spans="1:39" ht="21" customHeight="1" thickTop="1" thickBot="1">
      <c r="A9" s="13" t="s">
        <v>18</v>
      </c>
      <c r="B9" s="8">
        <f t="shared" si="14"/>
        <v>0</v>
      </c>
      <c r="C9" s="9">
        <f t="shared" si="15"/>
        <v>0</v>
      </c>
      <c r="D9" s="9">
        <f t="shared" si="2"/>
        <v>0</v>
      </c>
      <c r="E9" s="8">
        <f t="shared" si="16"/>
        <v>0</v>
      </c>
      <c r="F9" s="10"/>
      <c r="G9" s="3">
        <f t="shared" si="4"/>
        <v>0</v>
      </c>
      <c r="H9" s="5">
        <v>1</v>
      </c>
      <c r="I9" s="5"/>
      <c r="J9" s="5">
        <f t="shared" si="5"/>
        <v>0</v>
      </c>
      <c r="K9" s="11">
        <f t="shared" si="6"/>
        <v>0</v>
      </c>
      <c r="L9" s="12">
        <f t="shared" si="7"/>
        <v>0</v>
      </c>
      <c r="M9" s="4">
        <f t="shared" si="8"/>
        <v>0</v>
      </c>
      <c r="N9" s="2">
        <v>0</v>
      </c>
      <c r="O9" s="2">
        <v>0</v>
      </c>
      <c r="Q9" s="1">
        <f t="shared" ref="Q9:R9" si="19">ABS(K9)</f>
        <v>0</v>
      </c>
      <c r="R9" s="1">
        <f t="shared" si="19"/>
        <v>0</v>
      </c>
    </row>
    <row r="10" spans="1:39" ht="21" customHeight="1" thickTop="1">
      <c r="A10" s="13" t="s">
        <v>19</v>
      </c>
      <c r="B10" s="14">
        <f t="shared" si="14"/>
        <v>0</v>
      </c>
      <c r="C10" s="15">
        <f t="shared" si="15"/>
        <v>0</v>
      </c>
      <c r="D10" s="15">
        <f t="shared" si="2"/>
        <v>0</v>
      </c>
      <c r="E10" s="16">
        <f t="shared" si="16"/>
        <v>0</v>
      </c>
      <c r="F10" s="17"/>
      <c r="G10" s="18">
        <f t="shared" si="4"/>
        <v>0</v>
      </c>
      <c r="H10" s="19">
        <v>1</v>
      </c>
      <c r="I10" s="19"/>
      <c r="J10" s="19">
        <f t="shared" si="5"/>
        <v>0</v>
      </c>
      <c r="K10" s="20">
        <f t="shared" si="6"/>
        <v>0</v>
      </c>
      <c r="L10" s="21">
        <f t="shared" si="7"/>
        <v>0</v>
      </c>
      <c r="M10" s="4">
        <f t="shared" si="8"/>
        <v>0</v>
      </c>
      <c r="N10" s="2">
        <v>0</v>
      </c>
      <c r="O10" s="2">
        <v>0</v>
      </c>
      <c r="Q10" s="1">
        <f t="shared" ref="Q10:R10" si="20">ABS(K10)</f>
        <v>0</v>
      </c>
      <c r="R10" s="1">
        <f t="shared" si="20"/>
        <v>0</v>
      </c>
    </row>
    <row r="11" spans="1:39" ht="21" customHeight="1" thickBot="1">
      <c r="A11" s="13" t="s">
        <v>20</v>
      </c>
      <c r="B11" s="8">
        <f t="shared" si="14"/>
        <v>0</v>
      </c>
      <c r="C11" s="9">
        <f t="shared" si="15"/>
        <v>0</v>
      </c>
      <c r="D11" s="9">
        <f t="shared" si="2"/>
        <v>0</v>
      </c>
      <c r="E11" s="8">
        <f t="shared" si="16"/>
        <v>0</v>
      </c>
      <c r="F11" s="10"/>
      <c r="G11" s="3">
        <f t="shared" si="4"/>
        <v>0</v>
      </c>
      <c r="H11" s="5">
        <v>1</v>
      </c>
      <c r="I11" s="5"/>
      <c r="J11" s="5">
        <f t="shared" si="5"/>
        <v>0</v>
      </c>
      <c r="K11" s="22">
        <f t="shared" si="6"/>
        <v>0</v>
      </c>
      <c r="L11" s="23">
        <f t="shared" si="7"/>
        <v>0</v>
      </c>
      <c r="M11" s="4">
        <f t="shared" si="8"/>
        <v>0</v>
      </c>
      <c r="N11" s="2">
        <v>0</v>
      </c>
      <c r="O11" s="2">
        <v>0</v>
      </c>
      <c r="Q11" s="1">
        <f t="shared" ref="Q11:R11" si="21">ABS(K11)</f>
        <v>0</v>
      </c>
      <c r="R11" s="1">
        <f t="shared" si="21"/>
        <v>0</v>
      </c>
    </row>
    <row r="12" spans="1:39" ht="21" customHeight="1" thickTop="1" thickBot="1">
      <c r="A12" s="13" t="s">
        <v>21</v>
      </c>
      <c r="B12" s="8">
        <f t="shared" si="14"/>
        <v>0</v>
      </c>
      <c r="C12" s="9">
        <f t="shared" si="15"/>
        <v>0</v>
      </c>
      <c r="D12" s="9">
        <f t="shared" si="2"/>
        <v>0</v>
      </c>
      <c r="E12" s="8">
        <f t="shared" si="16"/>
        <v>0</v>
      </c>
      <c r="F12" s="10"/>
      <c r="G12" s="3">
        <f t="shared" si="4"/>
        <v>0</v>
      </c>
      <c r="H12" s="5">
        <v>1</v>
      </c>
      <c r="I12" s="5"/>
      <c r="J12" s="5">
        <f t="shared" si="5"/>
        <v>0</v>
      </c>
      <c r="K12" s="11">
        <f t="shared" si="6"/>
        <v>0</v>
      </c>
      <c r="L12" s="12">
        <f>ROUND(SIN(G12)*B12,3)</f>
        <v>0</v>
      </c>
      <c r="M12" s="4">
        <f t="shared" si="8"/>
        <v>0</v>
      </c>
      <c r="N12" s="2">
        <v>0</v>
      </c>
      <c r="O12" s="2">
        <v>0</v>
      </c>
      <c r="Q12" s="1">
        <f t="shared" ref="Q12:R12" si="22">ABS(K12)</f>
        <v>0</v>
      </c>
      <c r="R12" s="1">
        <f t="shared" si="22"/>
        <v>0</v>
      </c>
    </row>
    <row r="13" spans="1:39" ht="21" customHeight="1" thickTop="1" thickBot="1">
      <c r="A13" s="13" t="s">
        <v>22</v>
      </c>
      <c r="B13" s="8">
        <f t="shared" si="14"/>
        <v>0</v>
      </c>
      <c r="C13" s="9">
        <f t="shared" si="15"/>
        <v>0</v>
      </c>
      <c r="D13" s="9">
        <f t="shared" si="2"/>
        <v>0</v>
      </c>
      <c r="E13" s="8">
        <f t="shared" si="16"/>
        <v>0</v>
      </c>
      <c r="F13" s="10"/>
      <c r="G13" s="3">
        <f t="shared" si="4"/>
        <v>0</v>
      </c>
      <c r="H13" s="5">
        <v>1</v>
      </c>
      <c r="I13" s="5"/>
      <c r="J13" s="5">
        <f t="shared" si="5"/>
        <v>0</v>
      </c>
      <c r="K13" s="11">
        <f t="shared" si="6"/>
        <v>0</v>
      </c>
      <c r="L13" s="12">
        <f t="shared" si="7"/>
        <v>0</v>
      </c>
      <c r="M13" s="4">
        <f t="shared" si="8"/>
        <v>0</v>
      </c>
      <c r="N13" s="2">
        <v>0</v>
      </c>
      <c r="O13" s="2">
        <v>0</v>
      </c>
      <c r="Q13" s="1">
        <f t="shared" ref="Q13:R13" si="23">ABS(K13)</f>
        <v>0</v>
      </c>
      <c r="R13" s="1">
        <f t="shared" si="23"/>
        <v>0</v>
      </c>
    </row>
    <row r="14" spans="1:39" ht="21" customHeight="1" thickTop="1" thickBot="1">
      <c r="A14" s="13" t="s">
        <v>23</v>
      </c>
      <c r="B14" s="8">
        <f t="shared" si="14"/>
        <v>0</v>
      </c>
      <c r="C14" s="9">
        <f t="shared" si="15"/>
        <v>0</v>
      </c>
      <c r="D14" s="9">
        <f t="shared" si="2"/>
        <v>0</v>
      </c>
      <c r="E14" s="8">
        <f t="shared" si="16"/>
        <v>0</v>
      </c>
      <c r="F14" s="10"/>
      <c r="G14" s="3">
        <f t="shared" si="4"/>
        <v>0</v>
      </c>
      <c r="H14" s="5">
        <v>1</v>
      </c>
      <c r="I14" s="5"/>
      <c r="J14" s="5">
        <f t="shared" si="5"/>
        <v>0</v>
      </c>
      <c r="K14" s="11">
        <f t="shared" si="6"/>
        <v>0</v>
      </c>
      <c r="L14" s="12">
        <f t="shared" si="7"/>
        <v>0</v>
      </c>
      <c r="M14" s="4">
        <f t="shared" si="8"/>
        <v>0</v>
      </c>
      <c r="N14" s="2">
        <v>0</v>
      </c>
      <c r="O14" s="2">
        <v>0</v>
      </c>
      <c r="Q14" s="1">
        <f t="shared" ref="Q14:R14" si="24">ABS(K14)</f>
        <v>0</v>
      </c>
      <c r="R14" s="1">
        <f t="shared" si="24"/>
        <v>0</v>
      </c>
    </row>
    <row r="15" spans="1:39" ht="21" customHeight="1" thickTop="1" thickBot="1">
      <c r="A15" s="431" t="s">
        <v>24</v>
      </c>
      <c r="B15" s="8">
        <f t="shared" si="14"/>
        <v>0</v>
      </c>
      <c r="C15" s="9">
        <f t="shared" si="15"/>
        <v>0</v>
      </c>
      <c r="D15" s="9">
        <f t="shared" si="2"/>
        <v>0</v>
      </c>
      <c r="E15" s="8">
        <f t="shared" si="16"/>
        <v>0</v>
      </c>
      <c r="F15" s="10"/>
      <c r="G15" s="3">
        <f t="shared" si="4"/>
        <v>0</v>
      </c>
      <c r="H15" s="5">
        <v>1</v>
      </c>
      <c r="I15" s="5"/>
      <c r="J15" s="5">
        <f t="shared" si="5"/>
        <v>0</v>
      </c>
      <c r="K15" s="11">
        <f t="shared" si="6"/>
        <v>0</v>
      </c>
      <c r="L15" s="12">
        <f t="shared" si="7"/>
        <v>0</v>
      </c>
      <c r="M15" s="4">
        <f t="shared" si="8"/>
        <v>0</v>
      </c>
      <c r="N15" s="2">
        <v>0</v>
      </c>
      <c r="O15" s="2">
        <v>0</v>
      </c>
      <c r="Q15" s="1">
        <f t="shared" ref="Q15:R15" si="25">ABS(K15)</f>
        <v>0</v>
      </c>
      <c r="R15" s="1">
        <f t="shared" si="25"/>
        <v>0</v>
      </c>
    </row>
    <row r="16" spans="1:39" ht="21" customHeight="1" thickTop="1" thickBot="1">
      <c r="A16" s="432" t="s">
        <v>25</v>
      </c>
      <c r="B16" s="8">
        <f t="shared" si="14"/>
        <v>0</v>
      </c>
      <c r="C16" s="9">
        <f t="shared" si="15"/>
        <v>0</v>
      </c>
      <c r="D16" s="9">
        <f t="shared" si="2"/>
        <v>0</v>
      </c>
      <c r="E16" s="8">
        <f t="shared" si="16"/>
        <v>0</v>
      </c>
      <c r="F16" s="10"/>
      <c r="G16" s="3">
        <f t="shared" si="4"/>
        <v>0</v>
      </c>
      <c r="H16" s="5">
        <v>1</v>
      </c>
      <c r="I16" s="5"/>
      <c r="J16" s="5">
        <f t="shared" si="5"/>
        <v>0</v>
      </c>
      <c r="K16" s="11">
        <f t="shared" si="6"/>
        <v>0</v>
      </c>
      <c r="L16" s="12">
        <f t="shared" si="7"/>
        <v>0</v>
      </c>
      <c r="M16" s="4">
        <f t="shared" si="8"/>
        <v>0</v>
      </c>
      <c r="N16" s="2">
        <v>0</v>
      </c>
      <c r="O16" s="2">
        <v>0</v>
      </c>
      <c r="Q16" s="1">
        <f t="shared" ref="Q16:R16" si="26">ABS(K16)</f>
        <v>0</v>
      </c>
      <c r="R16" s="1">
        <f t="shared" si="26"/>
        <v>0</v>
      </c>
    </row>
    <row r="17" spans="1:20" ht="21" customHeight="1" thickTop="1" thickBot="1">
      <c r="A17" s="432" t="s">
        <v>26</v>
      </c>
      <c r="B17" s="8">
        <f t="shared" si="14"/>
        <v>0</v>
      </c>
      <c r="C17" s="9">
        <f t="shared" si="15"/>
        <v>0</v>
      </c>
      <c r="D17" s="9">
        <f t="shared" si="2"/>
        <v>0</v>
      </c>
      <c r="E17" s="8">
        <f t="shared" si="16"/>
        <v>0</v>
      </c>
      <c r="F17" s="10"/>
      <c r="G17" s="3">
        <f t="shared" si="4"/>
        <v>0</v>
      </c>
      <c r="H17" s="5">
        <v>1</v>
      </c>
      <c r="I17" s="5"/>
      <c r="J17" s="5">
        <f t="shared" si="5"/>
        <v>0</v>
      </c>
      <c r="K17" s="11">
        <f t="shared" si="6"/>
        <v>0</v>
      </c>
      <c r="L17" s="12">
        <f t="shared" si="7"/>
        <v>0</v>
      </c>
      <c r="M17" s="4">
        <f t="shared" si="8"/>
        <v>0</v>
      </c>
      <c r="N17" s="2">
        <v>0</v>
      </c>
      <c r="O17" s="2">
        <v>0</v>
      </c>
      <c r="Q17" s="1">
        <f t="shared" ref="Q17:R17" si="27">ABS(K17)</f>
        <v>0</v>
      </c>
      <c r="R17" s="1">
        <f t="shared" si="27"/>
        <v>0</v>
      </c>
    </row>
    <row r="18" spans="1:20" ht="21" customHeight="1" thickTop="1">
      <c r="A18" s="432" t="s">
        <v>27</v>
      </c>
      <c r="B18" s="14">
        <f t="shared" si="14"/>
        <v>0</v>
      </c>
      <c r="C18" s="9">
        <f t="shared" si="15"/>
        <v>0</v>
      </c>
      <c r="D18" s="15">
        <f t="shared" si="2"/>
        <v>0</v>
      </c>
      <c r="E18" s="16">
        <f t="shared" si="16"/>
        <v>0</v>
      </c>
      <c r="F18" s="17"/>
      <c r="G18" s="18">
        <f t="shared" si="4"/>
        <v>0</v>
      </c>
      <c r="H18" s="19">
        <v>1</v>
      </c>
      <c r="I18" s="19"/>
      <c r="J18" s="19">
        <f t="shared" si="5"/>
        <v>0</v>
      </c>
      <c r="K18" s="20">
        <f t="shared" si="6"/>
        <v>0</v>
      </c>
      <c r="L18" s="21">
        <f t="shared" si="7"/>
        <v>0</v>
      </c>
      <c r="M18" s="4">
        <f t="shared" si="8"/>
        <v>0</v>
      </c>
      <c r="N18" s="2">
        <v>0</v>
      </c>
      <c r="O18" s="2">
        <v>0</v>
      </c>
      <c r="Q18" s="1">
        <f t="shared" ref="Q18:R18" si="28">ABS(K18)</f>
        <v>0</v>
      </c>
      <c r="R18" s="1">
        <f t="shared" si="28"/>
        <v>0</v>
      </c>
    </row>
    <row r="19" spans="1:20" ht="21" customHeight="1" thickBot="1">
      <c r="A19" s="24" t="s">
        <v>28</v>
      </c>
      <c r="B19" s="8">
        <f t="shared" si="14"/>
        <v>0</v>
      </c>
      <c r="C19" s="25">
        <f t="shared" si="15"/>
        <v>0</v>
      </c>
      <c r="D19" s="9"/>
      <c r="E19" s="8">
        <f t="shared" si="16"/>
        <v>0</v>
      </c>
      <c r="F19" s="10"/>
      <c r="G19" s="3">
        <f t="shared" si="4"/>
        <v>0</v>
      </c>
      <c r="H19" s="5">
        <v>1</v>
      </c>
      <c r="I19" s="5"/>
      <c r="J19" s="5">
        <f t="shared" si="5"/>
        <v>0</v>
      </c>
      <c r="K19" s="26">
        <f t="shared" si="6"/>
        <v>0</v>
      </c>
      <c r="L19" s="27">
        <f t="shared" si="7"/>
        <v>0</v>
      </c>
      <c r="M19" s="4">
        <f t="shared" si="8"/>
        <v>0</v>
      </c>
      <c r="N19" s="2">
        <v>0</v>
      </c>
      <c r="O19" s="2">
        <v>0</v>
      </c>
      <c r="Q19" s="1">
        <f t="shared" ref="Q19:R19" si="29">ABS(K19)</f>
        <v>0</v>
      </c>
      <c r="R19" s="1">
        <f t="shared" si="29"/>
        <v>0</v>
      </c>
    </row>
    <row r="20" spans="1:20" ht="21" customHeight="1" thickTop="1" thickBot="1">
      <c r="A20" s="28" t="s">
        <v>29</v>
      </c>
      <c r="B20" s="8">
        <f t="shared" si="14"/>
        <v>0</v>
      </c>
      <c r="C20" s="9">
        <f t="shared" si="15"/>
        <v>0</v>
      </c>
      <c r="D20" s="9"/>
      <c r="E20" s="8">
        <f t="shared" si="16"/>
        <v>0</v>
      </c>
      <c r="F20" s="10"/>
      <c r="G20" s="3">
        <f t="shared" si="4"/>
        <v>0</v>
      </c>
      <c r="H20" s="5">
        <v>1</v>
      </c>
      <c r="I20" s="5"/>
      <c r="J20" s="5">
        <f t="shared" si="5"/>
        <v>0</v>
      </c>
      <c r="K20" s="29">
        <f t="shared" si="6"/>
        <v>0</v>
      </c>
      <c r="L20" s="30">
        <f t="shared" si="7"/>
        <v>0</v>
      </c>
      <c r="M20" s="4">
        <f t="shared" si="8"/>
        <v>0</v>
      </c>
      <c r="N20" s="2">
        <v>0</v>
      </c>
      <c r="O20" s="2">
        <v>0</v>
      </c>
      <c r="Q20" s="1">
        <f t="shared" ref="Q20:R20" si="30">ABS(K20)</f>
        <v>0</v>
      </c>
      <c r="R20" s="1">
        <f t="shared" si="30"/>
        <v>0</v>
      </c>
    </row>
    <row r="21" spans="1:20" ht="21" customHeight="1" thickTop="1" thickBot="1">
      <c r="A21" s="31" t="s">
        <v>30</v>
      </c>
      <c r="B21" s="8">
        <f t="shared" si="14"/>
        <v>0</v>
      </c>
      <c r="C21" s="9">
        <f t="shared" si="15"/>
        <v>0</v>
      </c>
      <c r="D21" s="9"/>
      <c r="E21" s="8">
        <f t="shared" si="16"/>
        <v>0</v>
      </c>
      <c r="F21" s="10"/>
      <c r="G21" s="3">
        <f t="shared" si="4"/>
        <v>0</v>
      </c>
      <c r="H21" s="5">
        <v>1</v>
      </c>
      <c r="I21" s="5"/>
      <c r="J21" s="5">
        <f t="shared" si="5"/>
        <v>0</v>
      </c>
      <c r="K21" s="29">
        <f t="shared" si="6"/>
        <v>0</v>
      </c>
      <c r="L21" s="30">
        <f t="shared" si="7"/>
        <v>0</v>
      </c>
      <c r="M21" s="4">
        <f t="shared" si="8"/>
        <v>0</v>
      </c>
      <c r="N21" s="2">
        <v>0</v>
      </c>
      <c r="O21" s="2">
        <v>0</v>
      </c>
      <c r="Q21" s="1">
        <f t="shared" ref="Q21:R21" si="31">ABS(K21)</f>
        <v>0</v>
      </c>
      <c r="R21" s="1">
        <f t="shared" si="31"/>
        <v>0</v>
      </c>
    </row>
    <row r="22" spans="1:20" ht="21" customHeight="1" thickTop="1" thickBot="1">
      <c r="A22" s="32" t="s">
        <v>31</v>
      </c>
      <c r="B22" s="8">
        <f t="shared" si="14"/>
        <v>0</v>
      </c>
      <c r="C22" s="9">
        <f t="shared" si="15"/>
        <v>0</v>
      </c>
      <c r="D22" s="9"/>
      <c r="E22" s="8">
        <f t="shared" si="16"/>
        <v>0</v>
      </c>
      <c r="F22" s="10"/>
      <c r="G22" s="3">
        <f t="shared" si="4"/>
        <v>0</v>
      </c>
      <c r="H22" s="5">
        <v>1</v>
      </c>
      <c r="I22" s="5"/>
      <c r="J22" s="5">
        <f t="shared" si="5"/>
        <v>0</v>
      </c>
      <c r="K22" s="29">
        <f t="shared" si="6"/>
        <v>0</v>
      </c>
      <c r="L22" s="30">
        <f t="shared" si="7"/>
        <v>0</v>
      </c>
      <c r="M22" s="4">
        <f t="shared" si="8"/>
        <v>0</v>
      </c>
      <c r="N22" s="2">
        <v>0</v>
      </c>
      <c r="O22" s="2">
        <v>0</v>
      </c>
      <c r="Q22" s="1">
        <f t="shared" ref="Q22:R22" si="32">ABS(K22)</f>
        <v>0</v>
      </c>
      <c r="R22" s="1">
        <f t="shared" si="32"/>
        <v>0</v>
      </c>
    </row>
    <row r="23" spans="1:20" ht="21" customHeight="1" thickTop="1">
      <c r="A23" s="33" t="s">
        <v>32</v>
      </c>
      <c r="B23" s="16">
        <f t="shared" si="14"/>
        <v>0</v>
      </c>
      <c r="C23" s="15">
        <f t="shared" si="15"/>
        <v>0</v>
      </c>
      <c r="D23" s="15"/>
      <c r="E23" s="16">
        <f t="shared" si="16"/>
        <v>0</v>
      </c>
      <c r="F23" s="17"/>
      <c r="G23" s="18">
        <f t="shared" si="4"/>
        <v>0</v>
      </c>
      <c r="H23" s="19">
        <v>1</v>
      </c>
      <c r="I23" s="19"/>
      <c r="J23" s="19">
        <f t="shared" si="5"/>
        <v>0</v>
      </c>
      <c r="K23" s="34">
        <f t="shared" si="6"/>
        <v>0</v>
      </c>
      <c r="L23" s="35">
        <f t="shared" si="7"/>
        <v>0</v>
      </c>
      <c r="M23" s="4">
        <f t="shared" si="8"/>
        <v>0</v>
      </c>
      <c r="N23" s="2">
        <v>0</v>
      </c>
      <c r="O23" s="2">
        <v>0</v>
      </c>
      <c r="Q23" s="36">
        <f t="shared" ref="Q23:R23" si="33">ABS(K23)</f>
        <v>0</v>
      </c>
      <c r="R23" s="37">
        <f t="shared" si="33"/>
        <v>0</v>
      </c>
      <c r="S23" s="38"/>
      <c r="T23" s="38"/>
    </row>
    <row r="24" spans="1:20" ht="21" customHeight="1" thickBot="1">
      <c r="A24" s="39" t="s">
        <v>33</v>
      </c>
      <c r="B24" s="8">
        <f t="shared" si="14"/>
        <v>0</v>
      </c>
      <c r="C24" s="9">
        <f t="shared" si="15"/>
        <v>0</v>
      </c>
      <c r="D24" s="9"/>
      <c r="E24" s="8">
        <f t="shared" si="16"/>
        <v>0</v>
      </c>
      <c r="F24" s="10"/>
      <c r="G24" s="3">
        <f t="shared" si="4"/>
        <v>0</v>
      </c>
      <c r="H24" s="5">
        <v>1</v>
      </c>
      <c r="I24" s="5"/>
      <c r="J24" s="5">
        <f t="shared" si="5"/>
        <v>0</v>
      </c>
      <c r="K24" s="40">
        <f t="shared" si="6"/>
        <v>0</v>
      </c>
      <c r="L24" s="41">
        <f t="shared" si="7"/>
        <v>0</v>
      </c>
      <c r="M24" s="4">
        <f t="shared" si="8"/>
        <v>0</v>
      </c>
      <c r="N24" s="2">
        <v>0</v>
      </c>
      <c r="O24" s="2">
        <v>0</v>
      </c>
      <c r="Q24" s="36">
        <f t="shared" ref="Q24:R24" si="34">ABS(K24)</f>
        <v>0</v>
      </c>
      <c r="R24" s="37">
        <f t="shared" si="34"/>
        <v>0</v>
      </c>
      <c r="S24" s="38"/>
      <c r="T24" s="38"/>
    </row>
    <row r="25" spans="1:20" ht="21" customHeight="1" thickTop="1" thickBot="1">
      <c r="A25" s="42" t="s">
        <v>34</v>
      </c>
      <c r="B25" s="8">
        <f t="shared" si="14"/>
        <v>0</v>
      </c>
      <c r="C25" s="9">
        <f t="shared" si="15"/>
        <v>0</v>
      </c>
      <c r="D25" s="9"/>
      <c r="E25" s="8">
        <f t="shared" si="16"/>
        <v>0</v>
      </c>
      <c r="F25" s="10"/>
      <c r="G25" s="3">
        <f t="shared" si="4"/>
        <v>0</v>
      </c>
      <c r="H25" s="5">
        <v>1</v>
      </c>
      <c r="I25" s="5"/>
      <c r="J25" s="5">
        <f t="shared" si="5"/>
        <v>0</v>
      </c>
      <c r="K25" s="43">
        <f t="shared" si="6"/>
        <v>0</v>
      </c>
      <c r="L25" s="44">
        <f t="shared" si="7"/>
        <v>0</v>
      </c>
      <c r="M25" s="4">
        <f t="shared" si="8"/>
        <v>0</v>
      </c>
      <c r="N25" s="2">
        <v>0</v>
      </c>
      <c r="O25" s="2">
        <v>0</v>
      </c>
      <c r="Q25" s="36">
        <f t="shared" ref="Q25:R25" si="35">ABS(K25)</f>
        <v>0</v>
      </c>
      <c r="R25" s="37">
        <f t="shared" si="35"/>
        <v>0</v>
      </c>
      <c r="S25" s="38"/>
      <c r="T25" s="38"/>
    </row>
    <row r="26" spans="1:20" ht="21" customHeight="1" thickTop="1" thickBot="1">
      <c r="A26" s="42" t="s">
        <v>35</v>
      </c>
      <c r="B26" s="8">
        <f t="shared" si="14"/>
        <v>0</v>
      </c>
      <c r="C26" s="9">
        <f t="shared" si="15"/>
        <v>0</v>
      </c>
      <c r="D26" s="9"/>
      <c r="E26" s="8">
        <f t="shared" si="16"/>
        <v>0</v>
      </c>
      <c r="F26" s="10"/>
      <c r="G26" s="3">
        <f t="shared" si="4"/>
        <v>0</v>
      </c>
      <c r="H26" s="5">
        <v>1</v>
      </c>
      <c r="I26" s="5"/>
      <c r="J26" s="5">
        <f t="shared" si="5"/>
        <v>0</v>
      </c>
      <c r="K26" s="43">
        <f t="shared" si="6"/>
        <v>0</v>
      </c>
      <c r="L26" s="44">
        <f t="shared" si="7"/>
        <v>0</v>
      </c>
      <c r="M26" s="4">
        <f t="shared" si="8"/>
        <v>0</v>
      </c>
      <c r="N26" s="2">
        <v>0</v>
      </c>
      <c r="O26" s="2">
        <v>0</v>
      </c>
      <c r="Q26" s="36">
        <f t="shared" ref="Q26:R26" si="36">ABS(K26)</f>
        <v>0</v>
      </c>
      <c r="R26" s="37">
        <f t="shared" si="36"/>
        <v>0</v>
      </c>
      <c r="S26" s="38"/>
      <c r="T26" s="38"/>
    </row>
    <row r="27" spans="1:20" ht="21" customHeight="1" thickTop="1" thickBot="1">
      <c r="A27" s="42" t="s">
        <v>36</v>
      </c>
      <c r="B27" s="8">
        <f t="shared" si="14"/>
        <v>0</v>
      </c>
      <c r="C27" s="9">
        <f t="shared" si="15"/>
        <v>0</v>
      </c>
      <c r="D27" s="9"/>
      <c r="E27" s="8">
        <f t="shared" si="16"/>
        <v>0</v>
      </c>
      <c r="F27" s="10"/>
      <c r="G27" s="3">
        <f t="shared" si="4"/>
        <v>0</v>
      </c>
      <c r="H27" s="5">
        <v>1</v>
      </c>
      <c r="I27" s="5"/>
      <c r="J27" s="5">
        <f t="shared" si="5"/>
        <v>0</v>
      </c>
      <c r="K27" s="43">
        <f t="shared" si="6"/>
        <v>0</v>
      </c>
      <c r="L27" s="44">
        <f t="shared" si="7"/>
        <v>0</v>
      </c>
      <c r="M27" s="4">
        <f t="shared" si="8"/>
        <v>0</v>
      </c>
      <c r="N27" s="2">
        <v>0</v>
      </c>
      <c r="O27" s="2">
        <v>0</v>
      </c>
      <c r="Q27" s="36">
        <f t="shared" ref="Q27:R27" si="37">ABS(K27)</f>
        <v>0</v>
      </c>
      <c r="R27" s="37">
        <f t="shared" si="37"/>
        <v>0</v>
      </c>
      <c r="S27" s="38"/>
      <c r="T27" s="38"/>
    </row>
    <row r="28" spans="1:20" ht="21" customHeight="1" thickTop="1" thickBot="1">
      <c r="A28" s="42" t="s">
        <v>37</v>
      </c>
      <c r="B28" s="8">
        <f t="shared" si="14"/>
        <v>0</v>
      </c>
      <c r="C28" s="9">
        <f t="shared" si="15"/>
        <v>0</v>
      </c>
      <c r="D28" s="9"/>
      <c r="E28" s="8">
        <f t="shared" si="16"/>
        <v>0</v>
      </c>
      <c r="F28" s="10"/>
      <c r="G28" s="3">
        <f t="shared" si="4"/>
        <v>0</v>
      </c>
      <c r="H28" s="5">
        <v>1</v>
      </c>
      <c r="I28" s="5"/>
      <c r="J28" s="5">
        <f t="shared" si="5"/>
        <v>0</v>
      </c>
      <c r="K28" s="43">
        <f t="shared" si="6"/>
        <v>0</v>
      </c>
      <c r="L28" s="44">
        <f t="shared" si="7"/>
        <v>0</v>
      </c>
      <c r="M28" s="4">
        <f t="shared" si="8"/>
        <v>0</v>
      </c>
      <c r="N28" s="2">
        <v>0</v>
      </c>
      <c r="O28" s="2">
        <v>0</v>
      </c>
      <c r="Q28" s="36">
        <f t="shared" ref="Q28:R28" si="38">ABS(K28)</f>
        <v>0</v>
      </c>
      <c r="R28" s="37">
        <f t="shared" si="38"/>
        <v>0</v>
      </c>
      <c r="S28" s="38"/>
      <c r="T28" s="38"/>
    </row>
    <row r="29" spans="1:20" ht="21" customHeight="1" thickTop="1" thickBot="1">
      <c r="A29" s="42" t="s">
        <v>38</v>
      </c>
      <c r="B29" s="8">
        <f t="shared" si="14"/>
        <v>0</v>
      </c>
      <c r="C29" s="9">
        <f t="shared" si="15"/>
        <v>0</v>
      </c>
      <c r="D29" s="9"/>
      <c r="E29" s="8">
        <f t="shared" si="16"/>
        <v>0</v>
      </c>
      <c r="F29" s="10"/>
      <c r="G29" s="3">
        <f t="shared" si="4"/>
        <v>0</v>
      </c>
      <c r="H29" s="5">
        <v>1</v>
      </c>
      <c r="I29" s="5"/>
      <c r="J29" s="5">
        <f t="shared" si="5"/>
        <v>0</v>
      </c>
      <c r="K29" s="43">
        <f t="shared" si="6"/>
        <v>0</v>
      </c>
      <c r="L29" s="44">
        <f t="shared" si="7"/>
        <v>0</v>
      </c>
      <c r="M29" s="4">
        <f t="shared" si="8"/>
        <v>0</v>
      </c>
      <c r="N29" s="2">
        <v>0</v>
      </c>
      <c r="O29" s="2">
        <v>0</v>
      </c>
      <c r="Q29" s="36">
        <f t="shared" ref="Q29:R29" si="39">ABS(K29)</f>
        <v>0</v>
      </c>
      <c r="R29" s="37">
        <f t="shared" si="39"/>
        <v>0</v>
      </c>
      <c r="S29" s="38"/>
      <c r="T29" s="38"/>
    </row>
    <row r="30" spans="1:20" ht="21" customHeight="1" thickTop="1" thickBot="1">
      <c r="A30" s="42" t="s">
        <v>39</v>
      </c>
      <c r="B30" s="8">
        <f t="shared" si="14"/>
        <v>0</v>
      </c>
      <c r="C30" s="9">
        <f t="shared" si="15"/>
        <v>0</v>
      </c>
      <c r="D30" s="9"/>
      <c r="E30" s="8">
        <f t="shared" si="16"/>
        <v>0</v>
      </c>
      <c r="F30" s="10"/>
      <c r="G30" s="3">
        <f t="shared" si="4"/>
        <v>0</v>
      </c>
      <c r="H30" s="5">
        <v>1</v>
      </c>
      <c r="I30" s="5"/>
      <c r="J30" s="5">
        <f t="shared" si="5"/>
        <v>0</v>
      </c>
      <c r="K30" s="43">
        <f t="shared" si="6"/>
        <v>0</v>
      </c>
      <c r="L30" s="44">
        <f t="shared" si="7"/>
        <v>0</v>
      </c>
      <c r="M30" s="4">
        <f t="shared" si="8"/>
        <v>0</v>
      </c>
      <c r="N30" s="2">
        <v>0</v>
      </c>
      <c r="O30" s="2">
        <v>0</v>
      </c>
      <c r="Q30" s="36">
        <f t="shared" ref="Q30:R30" si="40">ABS(K30)</f>
        <v>0</v>
      </c>
      <c r="R30" s="37">
        <f t="shared" si="40"/>
        <v>0</v>
      </c>
      <c r="S30" s="38"/>
      <c r="T30" s="38"/>
    </row>
    <row r="31" spans="1:20" ht="21" customHeight="1" thickTop="1" thickBot="1">
      <c r="A31" s="42" t="s">
        <v>40</v>
      </c>
      <c r="B31" s="8">
        <f t="shared" si="14"/>
        <v>0</v>
      </c>
      <c r="C31" s="9">
        <f t="shared" si="15"/>
        <v>0</v>
      </c>
      <c r="D31" s="9"/>
      <c r="E31" s="8">
        <f t="shared" si="16"/>
        <v>0</v>
      </c>
      <c r="F31" s="10"/>
      <c r="G31" s="3">
        <f t="shared" si="4"/>
        <v>0</v>
      </c>
      <c r="H31" s="5">
        <v>1</v>
      </c>
      <c r="I31" s="5"/>
      <c r="J31" s="5">
        <f t="shared" si="5"/>
        <v>0</v>
      </c>
      <c r="K31" s="43">
        <f t="shared" si="6"/>
        <v>0</v>
      </c>
      <c r="L31" s="44">
        <f t="shared" si="7"/>
        <v>0</v>
      </c>
      <c r="M31" s="4">
        <f t="shared" si="8"/>
        <v>0</v>
      </c>
      <c r="N31" s="2">
        <v>0</v>
      </c>
      <c r="O31" s="2">
        <v>0</v>
      </c>
      <c r="Q31" s="36">
        <f t="shared" ref="Q31:R31" si="41">ABS(K31)</f>
        <v>0</v>
      </c>
      <c r="R31" s="37">
        <f t="shared" si="41"/>
        <v>0</v>
      </c>
      <c r="S31" s="38"/>
      <c r="T31" s="38"/>
    </row>
    <row r="32" spans="1:20" ht="21" customHeight="1" thickTop="1" thickBot="1">
      <c r="A32" s="42" t="s">
        <v>41</v>
      </c>
      <c r="B32" s="8">
        <f t="shared" si="14"/>
        <v>0</v>
      </c>
      <c r="C32" s="9">
        <f t="shared" si="15"/>
        <v>0</v>
      </c>
      <c r="D32" s="9"/>
      <c r="E32" s="8">
        <f t="shared" si="16"/>
        <v>0</v>
      </c>
      <c r="F32" s="10"/>
      <c r="G32" s="3">
        <f t="shared" si="4"/>
        <v>0</v>
      </c>
      <c r="H32" s="5">
        <v>1</v>
      </c>
      <c r="I32" s="5"/>
      <c r="J32" s="5">
        <f t="shared" si="5"/>
        <v>0</v>
      </c>
      <c r="K32" s="43">
        <f t="shared" si="6"/>
        <v>0</v>
      </c>
      <c r="L32" s="44">
        <f t="shared" si="7"/>
        <v>0</v>
      </c>
      <c r="M32" s="4">
        <f t="shared" si="8"/>
        <v>0</v>
      </c>
      <c r="N32" s="2">
        <v>0</v>
      </c>
      <c r="O32" s="2">
        <v>0</v>
      </c>
      <c r="Q32" s="36">
        <f t="shared" ref="Q32:R32" si="42">ABS(K32)</f>
        <v>0</v>
      </c>
      <c r="R32" s="37">
        <f t="shared" si="42"/>
        <v>0</v>
      </c>
      <c r="S32" s="38"/>
      <c r="T32" s="38"/>
    </row>
    <row r="33" spans="1:39" ht="21" customHeight="1" thickTop="1" thickBot="1">
      <c r="A33" s="42" t="s">
        <v>42</v>
      </c>
      <c r="B33" s="8">
        <f t="shared" si="14"/>
        <v>0</v>
      </c>
      <c r="C33" s="9">
        <f t="shared" si="15"/>
        <v>0</v>
      </c>
      <c r="D33" s="9"/>
      <c r="E33" s="8">
        <f t="shared" si="16"/>
        <v>0</v>
      </c>
      <c r="F33" s="10"/>
      <c r="G33" s="3">
        <f t="shared" si="4"/>
        <v>0</v>
      </c>
      <c r="H33" s="5">
        <v>1</v>
      </c>
      <c r="I33" s="5"/>
      <c r="J33" s="5">
        <f t="shared" si="5"/>
        <v>0</v>
      </c>
      <c r="K33" s="43">
        <f t="shared" si="6"/>
        <v>0</v>
      </c>
      <c r="L33" s="44">
        <f t="shared" si="7"/>
        <v>0</v>
      </c>
      <c r="M33" s="4">
        <f t="shared" si="8"/>
        <v>0</v>
      </c>
      <c r="N33" s="2">
        <v>0</v>
      </c>
      <c r="O33" s="2">
        <v>0</v>
      </c>
      <c r="Q33" s="36">
        <f t="shared" ref="Q33:R33" si="43">ABS(K33)</f>
        <v>0</v>
      </c>
      <c r="R33" s="37">
        <f t="shared" si="43"/>
        <v>0</v>
      </c>
      <c r="S33" s="38"/>
      <c r="T33" s="38"/>
    </row>
    <row r="34" spans="1:39" ht="21" customHeight="1" thickTop="1">
      <c r="A34" s="33" t="s">
        <v>43</v>
      </c>
      <c r="B34" s="16">
        <f t="shared" si="14"/>
        <v>0</v>
      </c>
      <c r="C34" s="15">
        <f t="shared" si="15"/>
        <v>0</v>
      </c>
      <c r="D34" s="15"/>
      <c r="E34" s="16">
        <f t="shared" si="16"/>
        <v>0</v>
      </c>
      <c r="F34" s="17"/>
      <c r="G34" s="18">
        <f t="shared" si="4"/>
        <v>0</v>
      </c>
      <c r="H34" s="19">
        <v>1</v>
      </c>
      <c r="I34" s="19"/>
      <c r="J34" s="19">
        <f t="shared" si="5"/>
        <v>0</v>
      </c>
      <c r="K34" s="45">
        <f t="shared" si="6"/>
        <v>0</v>
      </c>
      <c r="L34" s="46">
        <f t="shared" si="7"/>
        <v>0</v>
      </c>
      <c r="M34" s="4">
        <f t="shared" si="8"/>
        <v>0</v>
      </c>
      <c r="N34" s="2">
        <v>0</v>
      </c>
      <c r="O34" s="2">
        <v>0</v>
      </c>
      <c r="Q34" s="36">
        <f t="shared" ref="Q34:R34" si="44">ABS(K34)</f>
        <v>0</v>
      </c>
      <c r="R34" s="37">
        <f t="shared" si="44"/>
        <v>0</v>
      </c>
      <c r="S34" s="38"/>
      <c r="T34" s="38"/>
    </row>
    <row r="35" spans="1:39" ht="21" customHeight="1">
      <c r="A35" s="47" t="s">
        <v>44</v>
      </c>
      <c r="B35" s="9">
        <f>K76</f>
        <v>0</v>
      </c>
      <c r="C35" s="9"/>
      <c r="D35" s="9"/>
      <c r="E35" s="9">
        <f>G76</f>
        <v>0</v>
      </c>
      <c r="F35" s="48"/>
      <c r="G35" s="4">
        <f t="shared" si="4"/>
        <v>0</v>
      </c>
      <c r="H35" s="5">
        <v>1</v>
      </c>
      <c r="I35" s="5"/>
      <c r="J35" s="5">
        <f t="shared" si="5"/>
        <v>0</v>
      </c>
      <c r="K35" s="49">
        <f t="shared" si="6"/>
        <v>0</v>
      </c>
      <c r="L35" s="49">
        <f t="shared" si="7"/>
        <v>0</v>
      </c>
      <c r="M35" s="4"/>
      <c r="N35" s="2">
        <v>0</v>
      </c>
      <c r="O35" s="2">
        <v>0</v>
      </c>
      <c r="Q35" s="36">
        <f t="shared" ref="Q35:R35" si="45">ABS(K35)</f>
        <v>0</v>
      </c>
      <c r="R35" s="37">
        <f t="shared" si="45"/>
        <v>0</v>
      </c>
      <c r="S35" s="38"/>
      <c r="T35" s="38"/>
    </row>
    <row r="36" spans="1:39" ht="21" customHeight="1">
      <c r="A36" s="50" t="s">
        <v>45</v>
      </c>
      <c r="B36" s="51"/>
      <c r="C36" s="51"/>
      <c r="D36" s="51"/>
      <c r="E36" s="52">
        <f t="shared" ref="E36:E41" si="46">IF(OR(K36&lt;&gt;0,L36&lt;&gt;0),
IF(L36=0,IF(K36&gt;0,0,180),
ROUND(90-DEGREES(IF(L36&lt;0,RADIANS(-180)+ATAN(K36/L36),ATAN(K36/L36))),2)),
0)</f>
        <v>0</v>
      </c>
      <c r="F36" s="53"/>
      <c r="G36" s="54">
        <f t="shared" si="4"/>
        <v>0</v>
      </c>
      <c r="H36" s="55" t="s">
        <v>46</v>
      </c>
      <c r="I36" s="56"/>
      <c r="J36" s="56"/>
      <c r="K36" s="57">
        <f t="shared" ref="K36:L36" si="47">ROUND(SUM(K3:K35),3)</f>
        <v>0</v>
      </c>
      <c r="L36" s="57">
        <f t="shared" si="47"/>
        <v>0</v>
      </c>
      <c r="M36" s="58">
        <f t="shared" ref="M36:M40" si="48">DEGREES(G36)</f>
        <v>0</v>
      </c>
      <c r="N36" s="53">
        <v>0</v>
      </c>
      <c r="O36" s="53">
        <v>0</v>
      </c>
      <c r="P36" s="59"/>
      <c r="Q36" s="60">
        <f t="shared" ref="Q36:R36" si="49">ABS(K36)</f>
        <v>0</v>
      </c>
      <c r="R36" s="61">
        <f t="shared" si="49"/>
        <v>0</v>
      </c>
      <c r="S36" s="62">
        <f t="shared" ref="S36:S40" si="50">SQRT(K36^2+L36^2)</f>
        <v>0</v>
      </c>
      <c r="T36" s="62" t="e">
        <f>ROUND(ACOS(L36/S36),6)</f>
        <v>#DIV/0!</v>
      </c>
      <c r="U36" s="63" t="e">
        <f>ROUND(DEGREES(T36),3)</f>
        <v>#DIV/0!</v>
      </c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</row>
    <row r="37" spans="1:39" ht="21" customHeight="1">
      <c r="A37" s="50" t="s">
        <v>47</v>
      </c>
      <c r="B37" s="2"/>
      <c r="C37" s="2"/>
      <c r="D37" s="2"/>
      <c r="E37" s="65">
        <f t="shared" si="46"/>
        <v>0</v>
      </c>
      <c r="F37" s="4"/>
      <c r="G37" s="66">
        <f t="shared" si="4"/>
        <v>0</v>
      </c>
      <c r="H37" s="67" t="s">
        <v>48</v>
      </c>
      <c r="I37" s="5"/>
      <c r="J37" s="5"/>
      <c r="K37" s="68">
        <f t="shared" ref="K37:L37" si="51">ROUND(SUM(K3:K18),3)</f>
        <v>0</v>
      </c>
      <c r="L37" s="69">
        <f t="shared" si="51"/>
        <v>0</v>
      </c>
      <c r="M37" s="4">
        <f t="shared" si="48"/>
        <v>0</v>
      </c>
      <c r="N37" s="70">
        <v>0</v>
      </c>
      <c r="O37" s="70">
        <v>0</v>
      </c>
      <c r="P37" s="71"/>
      <c r="Q37" s="36">
        <f t="shared" ref="Q37:R37" si="52">ABS(K37)</f>
        <v>0</v>
      </c>
      <c r="R37" s="37">
        <f t="shared" si="52"/>
        <v>0</v>
      </c>
      <c r="S37">
        <f t="shared" si="50"/>
        <v>0</v>
      </c>
      <c r="T37" t="e">
        <f t="shared" ref="T37:T40" si="53">ROUND(ASIN(L37/S37),6)</f>
        <v>#DIV/0!</v>
      </c>
      <c r="U37" s="2" t="e">
        <f t="shared" ref="U37:U40" si="54">ROUND(DEGREES(T37),3)</f>
        <v>#DIV/0!</v>
      </c>
    </row>
    <row r="38" spans="1:39" ht="21" customHeight="1">
      <c r="A38" s="72" t="s">
        <v>49</v>
      </c>
      <c r="B38" s="2"/>
      <c r="C38" s="2"/>
      <c r="D38" s="2"/>
      <c r="E38" s="65">
        <f t="shared" si="46"/>
        <v>0</v>
      </c>
      <c r="F38" s="4"/>
      <c r="G38" s="66">
        <f t="shared" si="4"/>
        <v>0</v>
      </c>
      <c r="H38" s="67" t="s">
        <v>50</v>
      </c>
      <c r="I38" s="5"/>
      <c r="J38" s="5"/>
      <c r="K38" s="73">
        <f t="shared" ref="K38:L38" si="55">ROUND(SUM(K24:K34),3)</f>
        <v>0</v>
      </c>
      <c r="L38" s="74">
        <f t="shared" si="55"/>
        <v>0</v>
      </c>
      <c r="M38" s="4">
        <f t="shared" si="48"/>
        <v>0</v>
      </c>
      <c r="N38" s="70">
        <v>0</v>
      </c>
      <c r="O38" s="70">
        <v>0</v>
      </c>
      <c r="P38" s="71"/>
      <c r="Q38" s="36">
        <f t="shared" ref="Q38:R38" si="56">ABS(K38)</f>
        <v>0</v>
      </c>
      <c r="R38" s="37">
        <f t="shared" si="56"/>
        <v>0</v>
      </c>
      <c r="S38">
        <f t="shared" si="50"/>
        <v>0</v>
      </c>
      <c r="T38" t="e">
        <f t="shared" si="53"/>
        <v>#DIV/0!</v>
      </c>
      <c r="U38" s="2" t="e">
        <f t="shared" si="54"/>
        <v>#DIV/0!</v>
      </c>
    </row>
    <row r="39" spans="1:39" ht="21" customHeight="1">
      <c r="A39" s="72" t="s">
        <v>51</v>
      </c>
      <c r="B39" s="2"/>
      <c r="C39" s="2"/>
      <c r="D39" s="2"/>
      <c r="E39" s="65">
        <f t="shared" si="46"/>
        <v>0</v>
      </c>
      <c r="F39" s="4"/>
      <c r="G39" s="66">
        <f t="shared" si="4"/>
        <v>0</v>
      </c>
      <c r="H39" s="67" t="s">
        <v>52</v>
      </c>
      <c r="I39" s="5"/>
      <c r="J39" s="5"/>
      <c r="K39" s="75">
        <f t="shared" ref="K39:L39" si="57">ROUND(SUM(K19:K23),3)</f>
        <v>0</v>
      </c>
      <c r="L39" s="76">
        <f t="shared" si="57"/>
        <v>0</v>
      </c>
      <c r="M39" s="4">
        <f t="shared" si="48"/>
        <v>0</v>
      </c>
      <c r="N39" s="70">
        <v>0</v>
      </c>
      <c r="O39" s="70">
        <v>0</v>
      </c>
      <c r="P39" s="71"/>
      <c r="Q39" s="36">
        <f t="shared" ref="Q39:R39" si="58">ABS(K39)</f>
        <v>0</v>
      </c>
      <c r="R39" s="37">
        <f t="shared" si="58"/>
        <v>0</v>
      </c>
      <c r="S39">
        <f t="shared" si="50"/>
        <v>0</v>
      </c>
      <c r="T39" t="e">
        <f t="shared" si="53"/>
        <v>#DIV/0!</v>
      </c>
      <c r="U39" s="2" t="e">
        <f t="shared" si="54"/>
        <v>#DIV/0!</v>
      </c>
      <c r="V39" t="e">
        <f>J19/ABS(J19)</f>
        <v>#DIV/0!</v>
      </c>
    </row>
    <row r="40" spans="1:39" ht="21" customHeight="1">
      <c r="A40" s="72" t="s">
        <v>53</v>
      </c>
      <c r="B40" s="2"/>
      <c r="C40" s="2"/>
      <c r="D40" s="2"/>
      <c r="E40" s="65">
        <f t="shared" si="46"/>
        <v>0</v>
      </c>
      <c r="F40" s="4"/>
      <c r="G40" s="66">
        <f t="shared" si="4"/>
        <v>0</v>
      </c>
      <c r="H40" s="67" t="s">
        <v>54</v>
      </c>
      <c r="I40" s="5"/>
      <c r="J40" s="5"/>
      <c r="K40" s="68">
        <f t="shared" ref="K40:L40" si="59">ROUND(SUM(K3:K10),3)</f>
        <v>0</v>
      </c>
      <c r="L40" s="68">
        <f t="shared" si="59"/>
        <v>0</v>
      </c>
      <c r="M40" s="4">
        <f t="shared" si="48"/>
        <v>0</v>
      </c>
      <c r="N40" s="70">
        <v>0</v>
      </c>
      <c r="O40" s="70">
        <v>0</v>
      </c>
      <c r="P40" s="71"/>
      <c r="Q40" s="36">
        <f t="shared" ref="Q40:R40" si="60">ABS(K40)</f>
        <v>0</v>
      </c>
      <c r="R40" s="37">
        <f t="shared" si="60"/>
        <v>0</v>
      </c>
      <c r="S40">
        <f t="shared" si="50"/>
        <v>0</v>
      </c>
      <c r="T40" t="e">
        <f t="shared" si="53"/>
        <v>#DIV/0!</v>
      </c>
      <c r="U40" s="77" t="e">
        <f t="shared" si="54"/>
        <v>#DIV/0!</v>
      </c>
      <c r="V40" s="78" t="s">
        <v>55</v>
      </c>
    </row>
    <row r="41" spans="1:39" ht="21" customHeight="1" thickBot="1">
      <c r="A41" s="79"/>
      <c r="B41" s="2"/>
      <c r="C41" s="2"/>
      <c r="D41" s="2"/>
      <c r="E41" s="80">
        <f t="shared" si="46"/>
        <v>0</v>
      </c>
      <c r="F41" s="81"/>
      <c r="G41" s="82">
        <f t="shared" si="4"/>
        <v>0</v>
      </c>
      <c r="H41" s="83" t="s">
        <v>56</v>
      </c>
      <c r="I41" s="84"/>
      <c r="J41" s="84"/>
      <c r="K41" s="81">
        <f t="shared" ref="K41:L41" si="61">K39+K40</f>
        <v>0</v>
      </c>
      <c r="L41" s="81">
        <f t="shared" si="61"/>
        <v>0</v>
      </c>
      <c r="M41" s="5"/>
      <c r="N41" s="5"/>
      <c r="O41" s="5"/>
      <c r="P41" s="85"/>
      <c r="Q41" s="36">
        <f t="shared" ref="Q41:R41" si="62">ABS(K41)</f>
        <v>0</v>
      </c>
      <c r="R41" s="37">
        <f t="shared" si="62"/>
        <v>0</v>
      </c>
      <c r="S41" s="86" t="s">
        <v>57</v>
      </c>
      <c r="T41" t="s">
        <v>58</v>
      </c>
      <c r="U41" t="s">
        <v>59</v>
      </c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  <c r="AL41" s="79"/>
      <c r="AM41" s="79"/>
    </row>
    <row r="42" spans="1:39" ht="21" customHeight="1">
      <c r="B42" s="91" t="s">
        <v>60</v>
      </c>
      <c r="C42" s="471" t="s">
        <v>64</v>
      </c>
      <c r="D42" s="472"/>
      <c r="E42" s="473"/>
      <c r="F42" s="92" t="s">
        <v>65</v>
      </c>
      <c r="G42" s="93" t="s">
        <v>66</v>
      </c>
      <c r="H42" s="93" t="s">
        <v>67</v>
      </c>
      <c r="I42" s="93" t="s">
        <v>68</v>
      </c>
      <c r="J42" s="93" t="s">
        <v>69</v>
      </c>
      <c r="K42" s="93" t="s">
        <v>70</v>
      </c>
      <c r="L42" s="94" t="s">
        <v>71</v>
      </c>
      <c r="M42" s="5"/>
      <c r="O42" s="87"/>
    </row>
    <row r="43" spans="1:39" ht="21" customHeight="1">
      <c r="B43" s="95"/>
      <c r="C43" s="96" t="s">
        <v>72</v>
      </c>
      <c r="D43" s="97"/>
      <c r="E43" s="98" t="s">
        <v>73</v>
      </c>
      <c r="F43" s="99" t="s">
        <v>73</v>
      </c>
      <c r="G43" s="100" t="s">
        <v>74</v>
      </c>
      <c r="H43" s="100" t="s">
        <v>61</v>
      </c>
      <c r="I43" s="100" t="s">
        <v>61</v>
      </c>
      <c r="J43" s="100" t="s">
        <v>75</v>
      </c>
      <c r="K43" s="100" t="s">
        <v>62</v>
      </c>
      <c r="L43" s="101" t="s">
        <v>76</v>
      </c>
      <c r="M43" s="5"/>
    </row>
    <row r="44" spans="1:39" ht="21" customHeight="1">
      <c r="B44" s="102" t="s">
        <v>77</v>
      </c>
      <c r="C44" s="103" t="s">
        <v>78</v>
      </c>
      <c r="D44" s="104"/>
      <c r="E44" s="429"/>
      <c r="F44" s="409"/>
      <c r="G44" s="391">
        <v>0</v>
      </c>
      <c r="H44" s="391"/>
      <c r="I44" s="407" t="str">
        <f>IF(E44&gt;0,VLOOKUP(E44,PRZEWODY!$B$5:$R$62,M44,0),"")</f>
        <v/>
      </c>
      <c r="J44" s="391" t="str">
        <f>IF(E44&gt;0,VLOOKUP(E44,PRZEWODY!$B$5:$R$62,M44+1,0),"")</f>
        <v/>
      </c>
      <c r="K44" s="391">
        <f>IF(E44&gt;0,VLOOKUP(E44,PRZEWODY!$B$5:$R$62,M44-1,0),0)</f>
        <v>0</v>
      </c>
      <c r="L44" s="408">
        <f>IF(E44&gt;0,VLOOKUP(E44,PRZEWODY!$B$5:$R$62,17,0),0)</f>
        <v>0</v>
      </c>
      <c r="M44" s="106">
        <f>IF(H44&lt;36,3,IF(AND(H44&gt;35,H44&lt;41),6,IF(AND(H44&gt;40,H44&lt;46),9,IF(AND(H44&gt;45,H44&lt;51),12,15))))</f>
        <v>3</v>
      </c>
      <c r="O44" s="2"/>
    </row>
    <row r="45" spans="1:39" ht="21" customHeight="1">
      <c r="B45" s="102" t="s">
        <v>80</v>
      </c>
      <c r="C45" s="103" t="s">
        <v>81</v>
      </c>
      <c r="D45" s="104"/>
      <c r="E45" s="429"/>
      <c r="F45" s="409"/>
      <c r="G45" s="391">
        <v>0</v>
      </c>
      <c r="H45" s="391"/>
      <c r="I45" s="391" t="str">
        <f>IF(E45&gt;0,VLOOKUP(E45,PRZEWODY!$B$5:$R$62,M45,0),"")</f>
        <v/>
      </c>
      <c r="J45" s="391" t="str">
        <f>IF(E45&gt;0,VLOOKUP(E45,PRZEWODY!$B$5:$R$62,M45+1,0),"")</f>
        <v/>
      </c>
      <c r="K45" s="392">
        <f>IF(E45&gt;0,VLOOKUP(E45,PRZEWODY!$B$5:$R$62,M45-1,0),0)</f>
        <v>0</v>
      </c>
      <c r="L45" s="408">
        <f>IF(E45&gt;0,VLOOKUP(E45,PRZEWODY!$B$5:$R$62,17,0),0)</f>
        <v>0</v>
      </c>
      <c r="M45" s="106">
        <f>IF(H45&lt;36,3,IF(AND(H45&gt;35,H45&lt;41),6,IF(AND(H45&gt;40,H45&lt;46),9,IF(AND(H45&gt;45,H45&lt;51),12,15))))</f>
        <v>3</v>
      </c>
      <c r="O45" s="108"/>
    </row>
    <row r="46" spans="1:39" ht="21" customHeight="1">
      <c r="B46" s="102" t="s">
        <v>83</v>
      </c>
      <c r="C46" s="109" t="s">
        <v>84</v>
      </c>
      <c r="D46" s="110"/>
      <c r="E46" s="429"/>
      <c r="F46" s="409"/>
      <c r="G46" s="391">
        <v>0</v>
      </c>
      <c r="H46" s="391"/>
      <c r="I46" s="391" t="str">
        <f>IF(E46&gt;0,VLOOKUP(E46,PRZEWODY!$B$5:$R$62,M46,0),"")</f>
        <v/>
      </c>
      <c r="J46" s="391" t="str">
        <f>IF(E46&gt;0,VLOOKUP(E46,PRZEWODY!$B$5:$R$62,M46+1,0),"")</f>
        <v/>
      </c>
      <c r="K46" s="392">
        <f>IF(E46&gt;0,VLOOKUP(E46,PRZEWODY!$B$5:$R$62,M46-1,0),0)</f>
        <v>0</v>
      </c>
      <c r="L46" s="408">
        <f>IF(E46&gt;0,VLOOKUP(E46,PRZEWODY!$B$5:$R$62,17,0),0)</f>
        <v>0</v>
      </c>
      <c r="M46" s="106">
        <f>IF(H46&lt;36,3,IF(AND(H46&gt;35,H46&lt;41),6,IF(AND(H46&gt;40,H46&lt;46),9,IF(AND(H46&gt;45,H46&lt;51),12,15))))</f>
        <v>3</v>
      </c>
      <c r="O46" s="108"/>
    </row>
    <row r="47" spans="1:39" ht="21" customHeight="1">
      <c r="B47" s="102" t="s">
        <v>595</v>
      </c>
      <c r="C47" s="109" t="s">
        <v>99</v>
      </c>
      <c r="D47" s="110"/>
      <c r="E47" s="429"/>
      <c r="F47" s="409"/>
      <c r="G47" s="391">
        <v>0</v>
      </c>
      <c r="H47" s="391"/>
      <c r="I47" s="391" t="str">
        <f>IF(E47&gt;0,VLOOKUP(E47,PRZEWODY!$B$5:$R$62,M47,0),"")</f>
        <v/>
      </c>
      <c r="J47" s="391" t="str">
        <f>IF(E47&gt;0,VLOOKUP(E47,PRZEWODY!$B$5:$R$62,M47+1,0),"")</f>
        <v/>
      </c>
      <c r="K47" s="392">
        <f>IF(E47&gt;0,VLOOKUP(E47,PRZEWODY!$B$5:$R$62,M47-1,0),0)</f>
        <v>0</v>
      </c>
      <c r="L47" s="408">
        <f>IF(E47&gt;0,VLOOKUP(E47,PRZEWODY!$B$5:$R$62,17,0),0)</f>
        <v>0</v>
      </c>
      <c r="M47" s="106">
        <f t="shared" ref="M47:M64" si="63">IF(H47&lt;36,3,IF(AND(H47&gt;35,H47&lt;41),6,IF(AND(H47&gt;40,H47&lt;46),9,IF(AND(H47&gt;45,H47&lt;51),12,15))))</f>
        <v>3</v>
      </c>
      <c r="O47" s="108"/>
    </row>
    <row r="48" spans="1:39" ht="21" customHeight="1">
      <c r="B48" s="102" t="s">
        <v>86</v>
      </c>
      <c r="C48" s="109" t="s">
        <v>87</v>
      </c>
      <c r="D48" s="110" t="s">
        <v>85</v>
      </c>
      <c r="E48" s="429"/>
      <c r="F48" s="409"/>
      <c r="G48" s="391">
        <v>0</v>
      </c>
      <c r="H48" s="391"/>
      <c r="I48" s="407" t="str">
        <f>IF(E48&gt;0,VLOOKUP(E48,PRZEWODY!$B$5:$R$62,M48,0),"")</f>
        <v/>
      </c>
      <c r="J48" s="391" t="str">
        <f>IF(E48&gt;0,VLOOKUP(E48,PRZEWODY!$B$5:$R$62,M48+1,0),"")</f>
        <v/>
      </c>
      <c r="K48" s="392">
        <f>IF(E48&gt;0,VLOOKUP(E48,PRZEWODY!$B$5:$R$62,M48-1,0),0)</f>
        <v>0</v>
      </c>
      <c r="L48" s="408">
        <f>IF(E48&gt;0,VLOOKUP(E48,PRZEWODY!$B$5:$R$62,17,0),0)</f>
        <v>0</v>
      </c>
      <c r="M48" s="106">
        <f t="shared" si="63"/>
        <v>3</v>
      </c>
      <c r="O48" s="87"/>
    </row>
    <row r="49" spans="2:15" ht="21" customHeight="1">
      <c r="B49" s="112" t="s">
        <v>89</v>
      </c>
      <c r="C49" s="109" t="s">
        <v>90</v>
      </c>
      <c r="D49" s="110" t="s">
        <v>85</v>
      </c>
      <c r="E49" s="429"/>
      <c r="F49" s="410"/>
      <c r="G49" s="392">
        <v>0</v>
      </c>
      <c r="H49" s="392"/>
      <c r="I49" s="391" t="str">
        <f>IF(E49&gt;0,VLOOKUP(E49,PRZEWODY!$B$5:$R$62,M49,0),"")</f>
        <v/>
      </c>
      <c r="J49" s="391" t="str">
        <f>IF(E49&gt;0,VLOOKUP(E49,PRZEWODY!$B$5:$R$62,M49+1,0),"")</f>
        <v/>
      </c>
      <c r="K49" s="392">
        <f>IF(E49&gt;0,VLOOKUP(E49,PRZEWODY!$B$5:$R$62,M49-1,0),0)</f>
        <v>0</v>
      </c>
      <c r="L49" s="408">
        <f>IF(E49&gt;0,VLOOKUP(E49,PRZEWODY!$B$5:$R$62,17,0),0)</f>
        <v>0</v>
      </c>
      <c r="M49" s="106">
        <f t="shared" si="63"/>
        <v>3</v>
      </c>
      <c r="O49" s="87"/>
    </row>
    <row r="50" spans="2:15" ht="21" customHeight="1">
      <c r="B50" s="112" t="s">
        <v>91</v>
      </c>
      <c r="C50" s="109" t="s">
        <v>92</v>
      </c>
      <c r="D50" s="110" t="s">
        <v>85</v>
      </c>
      <c r="E50" s="429"/>
      <c r="F50" s="409"/>
      <c r="G50" s="391">
        <v>0</v>
      </c>
      <c r="H50" s="391"/>
      <c r="I50" s="391" t="str">
        <f>IF(E50&gt;0,VLOOKUP(E50,PRZEWODY!$B$5:$R$62,M50,0),"")</f>
        <v/>
      </c>
      <c r="J50" s="391" t="str">
        <f>IF(E50&gt;0,VLOOKUP(E50,PRZEWODY!$B$5:$R$62,M50+1,0),"")</f>
        <v/>
      </c>
      <c r="K50" s="392">
        <f>IF(E50&gt;0,VLOOKUP(E50,PRZEWODY!$B$5:$R$62,M50-1,0),0)</f>
        <v>0</v>
      </c>
      <c r="L50" s="408">
        <f>IF(E50&gt;0,VLOOKUP(E50,PRZEWODY!$B$5:$R$62,17,0),0)</f>
        <v>0</v>
      </c>
      <c r="M50" s="106">
        <f t="shared" si="63"/>
        <v>3</v>
      </c>
      <c r="O50" s="87"/>
    </row>
    <row r="51" spans="2:15" ht="21" customHeight="1" thickBot="1">
      <c r="B51" s="112" t="s">
        <v>93</v>
      </c>
      <c r="C51" s="109" t="s">
        <v>94</v>
      </c>
      <c r="D51" s="110" t="s">
        <v>85</v>
      </c>
      <c r="E51" s="430"/>
      <c r="F51" s="411"/>
      <c r="G51" s="391">
        <v>0</v>
      </c>
      <c r="H51" s="391"/>
      <c r="I51" s="396" t="str">
        <f>IF(E51&gt;0,VLOOKUP(E51,PRZEWODY!$B$5:$R$62,M51,0),"")</f>
        <v/>
      </c>
      <c r="J51" s="396" t="str">
        <f>IF(E51&gt;0,VLOOKUP(E51,PRZEWODY!$B$5:$R$62,M51+1,0),"")</f>
        <v/>
      </c>
      <c r="K51" s="396">
        <f>IF(E51&gt;0,VLOOKUP(E51,PRZEWODY!$B$5:$R$62,M51-1,0),0)</f>
        <v>0</v>
      </c>
      <c r="L51" s="412">
        <f>IF(E51&gt;0,VLOOKUP(E51,PRZEWODY!$B$5:$R$62,17,0),0)</f>
        <v>0</v>
      </c>
      <c r="M51" s="106">
        <f t="shared" si="63"/>
        <v>3</v>
      </c>
    </row>
    <row r="52" spans="2:15" ht="21" customHeight="1">
      <c r="B52" s="114" t="s">
        <v>95</v>
      </c>
      <c r="C52" s="115" t="s">
        <v>78</v>
      </c>
      <c r="D52" s="116"/>
      <c r="E52" s="429"/>
      <c r="F52" s="409"/>
      <c r="G52" s="393">
        <v>0</v>
      </c>
      <c r="H52" s="394"/>
      <c r="I52" s="413" t="str">
        <f>IF(E52&gt;0,VLOOKUP(E52,PRZEWODY!$B$5:$R$62,M52,0),"")</f>
        <v/>
      </c>
      <c r="J52" s="394" t="str">
        <f>IF(E52&gt;0,VLOOKUP(E52,PRZEWODY!$B$5:$R$62,M52+1,0),"")</f>
        <v/>
      </c>
      <c r="K52" s="394">
        <f>IF(E52&gt;0,VLOOKUP(E52,PRZEWODY!$B$5:$R$62,M52-1,0),0)</f>
        <v>0</v>
      </c>
      <c r="L52" s="414">
        <f>IF(E52&gt;0,VLOOKUP(E52,PRZEWODY!$B$5:$R$62,17,0),0)</f>
        <v>0</v>
      </c>
      <c r="M52" s="106">
        <f t="shared" si="63"/>
        <v>3</v>
      </c>
    </row>
    <row r="53" spans="2:15" ht="21" customHeight="1">
      <c r="B53" s="102" t="s">
        <v>96</v>
      </c>
      <c r="C53" s="103" t="s">
        <v>81</v>
      </c>
      <c r="D53" s="104"/>
      <c r="E53" s="429"/>
      <c r="F53" s="415"/>
      <c r="G53" s="392">
        <v>0</v>
      </c>
      <c r="H53" s="395"/>
      <c r="I53" s="391" t="str">
        <f>IF(E53&gt;0,VLOOKUP(E53,PRZEWODY!$B$5:$R$62,M53,0),"")</f>
        <v/>
      </c>
      <c r="J53" s="391" t="str">
        <f>IF(E53&gt;0,VLOOKUP(E53,PRZEWODY!$B$5:$R$62,M53+1,0),"")</f>
        <v/>
      </c>
      <c r="K53" s="392">
        <f>IF(E53&gt;0,VLOOKUP(E53,PRZEWODY!$B$5:$R$62,M53-1,0),0)</f>
        <v>0</v>
      </c>
      <c r="L53" s="408">
        <f>IF(E53&gt;0,VLOOKUP(E53,PRZEWODY!$B$5:$R$62,17,0),0)</f>
        <v>0</v>
      </c>
      <c r="M53" s="106">
        <f t="shared" si="63"/>
        <v>3</v>
      </c>
    </row>
    <row r="54" spans="2:15" ht="21" customHeight="1">
      <c r="B54" s="102" t="s">
        <v>97</v>
      </c>
      <c r="C54" s="109" t="s">
        <v>84</v>
      </c>
      <c r="D54" s="110"/>
      <c r="E54" s="429"/>
      <c r="F54" s="409"/>
      <c r="G54" s="391">
        <v>0</v>
      </c>
      <c r="H54" s="391"/>
      <c r="I54" s="391" t="str">
        <f>IF(E54&gt;0,VLOOKUP(E54,PRZEWODY!$B$5:$R$62,M54,0),"")</f>
        <v/>
      </c>
      <c r="J54" s="391" t="str">
        <f>IF(E54&gt;0,VLOOKUP(E54,PRZEWODY!$B$5:$R$62,M54+1,0),"")</f>
        <v/>
      </c>
      <c r="K54" s="392">
        <f>IF(E54&gt;0,VLOOKUP(E54,PRZEWODY!$B$5:$R$62,M54-1,0),0)</f>
        <v>0</v>
      </c>
      <c r="L54" s="408">
        <f>IF(E54&gt;0,VLOOKUP(E54,PRZEWODY!$B$5:$R$62,17,0),0)</f>
        <v>0</v>
      </c>
      <c r="M54" s="106">
        <f t="shared" si="63"/>
        <v>3</v>
      </c>
    </row>
    <row r="55" spans="2:15" ht="21" customHeight="1">
      <c r="B55" s="102" t="s">
        <v>98</v>
      </c>
      <c r="C55" s="109" t="s">
        <v>99</v>
      </c>
      <c r="D55" s="110"/>
      <c r="E55" s="429"/>
      <c r="F55" s="409"/>
      <c r="G55" s="391">
        <v>0</v>
      </c>
      <c r="H55" s="391"/>
      <c r="I55" s="391" t="str">
        <f>IF(E55&gt;0,VLOOKUP(E55,PRZEWODY!$B$5:$R$62,M55,0),"")</f>
        <v/>
      </c>
      <c r="J55" s="391" t="str">
        <f>IF(E55&gt;0,VLOOKUP(E55,PRZEWODY!$B$5:$R$62,M55+1,0),"")</f>
        <v/>
      </c>
      <c r="K55" s="392">
        <f>IF(E55&gt;0,VLOOKUP(E55,PRZEWODY!$B$5:$R$62,M55-1,0),0)</f>
        <v>0</v>
      </c>
      <c r="L55" s="408">
        <f>IF(E55&gt;0,VLOOKUP(E55,PRZEWODY!$B$5:$R$62,17,0),0)</f>
        <v>0</v>
      </c>
      <c r="M55" s="106">
        <f t="shared" si="63"/>
        <v>3</v>
      </c>
    </row>
    <row r="56" spans="2:15" ht="21" customHeight="1">
      <c r="B56" s="102" t="s">
        <v>100</v>
      </c>
      <c r="C56" s="109" t="s">
        <v>87</v>
      </c>
      <c r="D56" s="110" t="s">
        <v>85</v>
      </c>
      <c r="E56" s="429"/>
      <c r="F56" s="409"/>
      <c r="G56" s="391">
        <v>0</v>
      </c>
      <c r="H56" s="391"/>
      <c r="I56" s="407" t="str">
        <f>IF(E56&gt;0,VLOOKUP(E56,PRZEWODY!$B$5:$R$62,M56,0),"")</f>
        <v/>
      </c>
      <c r="J56" s="391" t="str">
        <f>IF(E56&gt;0,VLOOKUP(E56,PRZEWODY!$B$5:$R$62,M56+1,0),"")</f>
        <v/>
      </c>
      <c r="K56" s="392">
        <f>IF(E56&gt;0,VLOOKUP(E56,PRZEWODY!$B$5:$R$62,M56-1,0),0)</f>
        <v>0</v>
      </c>
      <c r="L56" s="408">
        <f>IF(E56&gt;0,VLOOKUP(E56,PRZEWODY!$B$5:$R$62,17,0),0)</f>
        <v>0</v>
      </c>
      <c r="M56" s="106">
        <f t="shared" si="63"/>
        <v>3</v>
      </c>
    </row>
    <row r="57" spans="2:15" ht="21" customHeight="1">
      <c r="B57" s="102" t="s">
        <v>101</v>
      </c>
      <c r="C57" s="103" t="s">
        <v>90</v>
      </c>
      <c r="D57" s="104" t="s">
        <v>85</v>
      </c>
      <c r="E57" s="429"/>
      <c r="F57" s="416"/>
      <c r="G57" s="396">
        <v>0</v>
      </c>
      <c r="H57" s="397"/>
      <c r="I57" s="391" t="str">
        <f>IF(E57&gt;0,VLOOKUP(E57,PRZEWODY!$B$5:$R$62,M57,0),"")</f>
        <v/>
      </c>
      <c r="J57" s="391" t="str">
        <f>IF(E57&gt;0,VLOOKUP(E57,PRZEWODY!$B$5:$R$62,M57+1,0),"")</f>
        <v/>
      </c>
      <c r="K57" s="392">
        <f>IF(E57&gt;0,VLOOKUP(E57,PRZEWODY!$B$5:$R$62,M57-1,0),0)</f>
        <v>0</v>
      </c>
      <c r="L57" s="408">
        <f>IF(E57&gt;0,VLOOKUP(E57,PRZEWODY!$B$5:$R$62,17,0),0)</f>
        <v>0</v>
      </c>
      <c r="M57" s="106">
        <f t="shared" si="63"/>
        <v>3</v>
      </c>
    </row>
    <row r="58" spans="2:15" ht="21" customHeight="1">
      <c r="B58" s="112" t="s">
        <v>102</v>
      </c>
      <c r="C58" s="117" t="s">
        <v>92</v>
      </c>
      <c r="D58" s="118" t="s">
        <v>85</v>
      </c>
      <c r="E58" s="429"/>
      <c r="F58" s="410"/>
      <c r="G58" s="392">
        <v>0</v>
      </c>
      <c r="H58" s="392"/>
      <c r="I58" s="391" t="str">
        <f>IF(E58&gt;0,VLOOKUP(E58,PRZEWODY!$B$5:$R$62,M58,0),"")</f>
        <v/>
      </c>
      <c r="J58" s="391" t="str">
        <f>IF(E58&gt;0,VLOOKUP(E58,PRZEWODY!$B$5:$R$62,M58+1,0),"")</f>
        <v/>
      </c>
      <c r="K58" s="392">
        <f>IF(E58&gt;0,VLOOKUP(E58,PRZEWODY!$B$5:$R$62,M58-1,0),0)</f>
        <v>0</v>
      </c>
      <c r="L58" s="408">
        <f>IF(E58&gt;0,VLOOKUP(E58,PRZEWODY!$B$5:$R$62,17,0),0)</f>
        <v>0</v>
      </c>
      <c r="M58" s="106">
        <f t="shared" si="63"/>
        <v>3</v>
      </c>
    </row>
    <row r="59" spans="2:15" ht="21" customHeight="1" thickBot="1">
      <c r="B59" s="119" t="s">
        <v>103</v>
      </c>
      <c r="C59" s="120" t="s">
        <v>94</v>
      </c>
      <c r="D59" s="121" t="s">
        <v>85</v>
      </c>
      <c r="E59" s="430"/>
      <c r="F59" s="411"/>
      <c r="G59" s="398">
        <v>0</v>
      </c>
      <c r="H59" s="399"/>
      <c r="I59" s="398" t="str">
        <f>IF(E59&gt;0,VLOOKUP(E59,PRZEWODY!$B$5:$R$62,M59,0),"")</f>
        <v/>
      </c>
      <c r="J59" s="398" t="str">
        <f>IF(E59&gt;0,VLOOKUP(E59,PRZEWODY!$B$5:$R$62,M59+1,0),"")</f>
        <v/>
      </c>
      <c r="K59" s="398">
        <f>IF(E59&gt;0,VLOOKUP(E59,PRZEWODY!$B$5:$R$62,M59-1,0),0)</f>
        <v>0</v>
      </c>
      <c r="L59" s="417">
        <f>IF(E59&gt;0,VLOOKUP(E59,PRZEWODY!$B$5:$R$62,17,0),0)</f>
        <v>0</v>
      </c>
      <c r="M59" s="106">
        <f t="shared" si="63"/>
        <v>3</v>
      </c>
    </row>
    <row r="60" spans="2:15" ht="21" customHeight="1" outlineLevel="1">
      <c r="B60" s="122" t="s">
        <v>28</v>
      </c>
      <c r="C60" s="123" t="s">
        <v>104</v>
      </c>
      <c r="D60" s="124"/>
      <c r="E60" s="429"/>
      <c r="F60" s="409"/>
      <c r="G60" s="394">
        <v>0</v>
      </c>
      <c r="H60" s="394"/>
      <c r="I60" s="418" t="str">
        <f>IF(E60&gt;0,VLOOKUP(E60,PRZEWODY!$B$5:$R$62,M60,0),"")</f>
        <v/>
      </c>
      <c r="J60" s="418" t="str">
        <f>IF(E60&gt;0,VLOOKUP(E60,PRZEWODY!$B$5:$R$62,M60+1,0),"")</f>
        <v/>
      </c>
      <c r="K60" s="418">
        <f>IF(E60&gt;0,VLOOKUP(E60,PRZEWODY!$B$5:$R$62,M60-1,0),0)</f>
        <v>0</v>
      </c>
      <c r="L60" s="419">
        <f>IF(E60&gt;0,VLOOKUP(E60,PRZEWODY!$B$5:$R$62,17,0),0)</f>
        <v>0</v>
      </c>
      <c r="M60" s="106">
        <f t="shared" si="63"/>
        <v>3</v>
      </c>
    </row>
    <row r="61" spans="2:15" ht="21" customHeight="1" outlineLevel="1">
      <c r="B61" s="127" t="s">
        <v>29</v>
      </c>
      <c r="C61" s="128" t="s">
        <v>105</v>
      </c>
      <c r="D61" s="129"/>
      <c r="E61" s="429"/>
      <c r="F61" s="409"/>
      <c r="G61" s="400">
        <v>0</v>
      </c>
      <c r="H61" s="401"/>
      <c r="I61" s="401" t="str">
        <f>IF(E61&gt;0,VLOOKUP(E61,PRZEWODY!$B$5:$R$62,M61,0),"")</f>
        <v/>
      </c>
      <c r="J61" s="420" t="str">
        <f>IF(E61&gt;0,VLOOKUP(E61,PRZEWODY!$B$5:$R$62,M61+1,0),"")</f>
        <v/>
      </c>
      <c r="K61" s="401">
        <f>IF(E61&gt;0,VLOOKUP(E61,PRZEWODY!$B$5:$R$62,M61-1,0),0)</f>
        <v>0</v>
      </c>
      <c r="L61" s="421">
        <f>IF(E61&gt;0,VLOOKUP(E61,PRZEWODY!$B$5:$R$62,17,0),0)</f>
        <v>0</v>
      </c>
      <c r="M61" s="106">
        <f t="shared" si="63"/>
        <v>3</v>
      </c>
    </row>
    <row r="62" spans="2:15" ht="21" customHeight="1" outlineLevel="1">
      <c r="B62" s="127" t="s">
        <v>30</v>
      </c>
      <c r="C62" s="132" t="s">
        <v>106</v>
      </c>
      <c r="D62" s="129"/>
      <c r="E62" s="429"/>
      <c r="F62" s="409"/>
      <c r="G62" s="401">
        <v>0</v>
      </c>
      <c r="H62" s="401"/>
      <c r="I62" s="401" t="str">
        <f>IF(E62&gt;0,VLOOKUP(E62,PRZEWODY!$B$5:$R$62,M62,0),"")</f>
        <v/>
      </c>
      <c r="J62" s="420" t="str">
        <f>IF(E62&gt;0,VLOOKUP(E62,PRZEWODY!$B$5:$R$62,M62+1,0),"")</f>
        <v/>
      </c>
      <c r="K62" s="401">
        <f>IF(E62&gt;0,VLOOKUP(E62,PRZEWODY!$B$5:$R$62,M62-1,0),0)</f>
        <v>0</v>
      </c>
      <c r="L62" s="421">
        <f>IF(E62&gt;0,VLOOKUP(E62,PRZEWODY!$B$5:$R$62,17,0),0)</f>
        <v>0</v>
      </c>
      <c r="M62" s="106">
        <f t="shared" si="63"/>
        <v>3</v>
      </c>
    </row>
    <row r="63" spans="2:15" ht="21" customHeight="1" outlineLevel="1">
      <c r="B63" s="133" t="s">
        <v>31</v>
      </c>
      <c r="C63" s="128" t="s">
        <v>107</v>
      </c>
      <c r="D63" s="134" t="s">
        <v>85</v>
      </c>
      <c r="E63" s="429"/>
      <c r="F63" s="422"/>
      <c r="G63" s="400">
        <v>0</v>
      </c>
      <c r="H63" s="401"/>
      <c r="I63" s="401" t="str">
        <f>IF(E63&gt;0,VLOOKUP(E63,PRZEWODY!$B$5:$R$62,M63,0),"")</f>
        <v/>
      </c>
      <c r="J63" s="420" t="str">
        <f>IF(E63&gt;0,VLOOKUP(E63,PRZEWODY!$B$5:$R$62,M63+1,0),"")</f>
        <v/>
      </c>
      <c r="K63" s="401">
        <f>IF(E63&gt;0,VLOOKUP(E63,PRZEWODY!$B$5:$R$62,M63-1,0),0)</f>
        <v>0</v>
      </c>
      <c r="L63" s="421">
        <f>IF(E63&gt;0,VLOOKUP(E63,PRZEWODY!$B$5:$R$62,17,0),0)</f>
        <v>0</v>
      </c>
      <c r="M63" s="106">
        <f t="shared" si="63"/>
        <v>3</v>
      </c>
    </row>
    <row r="64" spans="2:15" ht="21" customHeight="1" outlineLevel="1" thickBot="1">
      <c r="B64" s="135" t="s">
        <v>32</v>
      </c>
      <c r="C64" s="136" t="s">
        <v>108</v>
      </c>
      <c r="D64" s="137"/>
      <c r="E64" s="429"/>
      <c r="F64" s="423"/>
      <c r="G64" s="402">
        <v>0</v>
      </c>
      <c r="H64" s="403"/>
      <c r="I64" s="403" t="str">
        <f>IF(E64&gt;0,VLOOKUP(E64,PRZEWODY!$B$5:$R$62,M64,0),"")</f>
        <v/>
      </c>
      <c r="J64" s="403" t="str">
        <f>IF(E64&gt;0,VLOOKUP(E64,PRZEWODY!$B$5:$R$62,M64+1,0),"")</f>
        <v/>
      </c>
      <c r="K64" s="403">
        <f>IF(E64&gt;0,VLOOKUP(E64,PRZEWODY!$B$5:$R$62,M64-1,0),0)</f>
        <v>0</v>
      </c>
      <c r="L64" s="424">
        <f>IF(E64&gt;0,VLOOKUP(E64,PRZEWODY!$B$5:$R$62,17,0),0)</f>
        <v>0</v>
      </c>
      <c r="M64" s="106">
        <f t="shared" si="63"/>
        <v>3</v>
      </c>
      <c r="O64" s="2"/>
    </row>
    <row r="65" spans="2:15" ht="21" customHeight="1">
      <c r="B65" s="138" t="s">
        <v>33</v>
      </c>
      <c r="C65" s="139" t="s">
        <v>109</v>
      </c>
      <c r="D65" s="140"/>
      <c r="E65" s="429"/>
      <c r="F65" s="410"/>
      <c r="G65" s="404">
        <v>0</v>
      </c>
      <c r="H65" s="405"/>
      <c r="I65" s="406" t="str">
        <f>IF(E65&gt;0,VLOOKUP(E65,PRZEWODY!$B$69:$Z$140,M65,0),"")</f>
        <v/>
      </c>
      <c r="J65" s="405" t="str">
        <f>IF(E65&gt;0,VLOOKUP(E65,PRZEWODY!$B$69:$Z$140,M65+1,0),"")</f>
        <v/>
      </c>
      <c r="K65" s="406">
        <f>IF(E65&gt;0,VLOOKUP(E65,PRZEWODY!$B$69:$Z$140,M65-1,0),0)</f>
        <v>0</v>
      </c>
      <c r="L65" s="425" t="str">
        <f>IF(E65&gt;0,VLOOKUP(E65,PRZEWODY!$B$69:$AA$140,26,0),"")</f>
        <v/>
      </c>
      <c r="M65" s="106">
        <f t="shared" ref="M65:M75" si="64">IF(H65&lt;11,3,IF(AND(H65&gt;10,H65&lt;16),6,IF(AND(H65&gt;15,H65&lt;21),9,IF(AND(H65&gt;20,H65&lt;26),12,IF(AND(H65&gt;25,H65&lt;31),15,IF(AND(H65&gt;30,H65&lt;36),18,IF(AND(H65&gt;35,H65&lt;41),21,IF(H65&gt;40,24))))))))</f>
        <v>3</v>
      </c>
    </row>
    <row r="66" spans="2:15" ht="21" customHeight="1">
      <c r="B66" s="141" t="s">
        <v>34</v>
      </c>
      <c r="C66" s="142" t="s">
        <v>110</v>
      </c>
      <c r="D66" s="143"/>
      <c r="E66" s="429"/>
      <c r="F66" s="410"/>
      <c r="G66" s="404">
        <v>0</v>
      </c>
      <c r="H66" s="405"/>
      <c r="I66" s="406" t="str">
        <f>IF(E66&gt;0,VLOOKUP(E66,PRZEWODY!$B$69:$Z$140,M66,0),"")</f>
        <v/>
      </c>
      <c r="J66" s="405" t="str">
        <f>IF(E66&gt;0,VLOOKUP(E66,PRZEWODY!$B$69:$Z$140,M66+1,0),"")</f>
        <v/>
      </c>
      <c r="K66" s="406">
        <f>IF(E66&gt;0,VLOOKUP(E66,PRZEWODY!$B$69:$Z$140,M66-1,0),0)</f>
        <v>0</v>
      </c>
      <c r="L66" s="425" t="str">
        <f>IF(E66&gt;0,VLOOKUP(E66,PRZEWODY!$B$69:$AA$140,26,0),"")</f>
        <v/>
      </c>
      <c r="M66" s="106">
        <f t="shared" si="64"/>
        <v>3</v>
      </c>
    </row>
    <row r="67" spans="2:15" ht="21" customHeight="1">
      <c r="B67" s="141" t="s">
        <v>35</v>
      </c>
      <c r="C67" s="142" t="s">
        <v>112</v>
      </c>
      <c r="D67" s="143"/>
      <c r="E67" s="429"/>
      <c r="F67" s="410"/>
      <c r="G67" s="405">
        <v>0</v>
      </c>
      <c r="H67" s="405"/>
      <c r="I67" s="406" t="str">
        <f>IF(E67&gt;0,VLOOKUP(E67,PRZEWODY!$B$69:$Z$140,M67,0),"")</f>
        <v/>
      </c>
      <c r="J67" s="405" t="str">
        <f>IF(E67&gt;0,VLOOKUP(E67,PRZEWODY!$B$69:$Z$140,M67+1,0),"")</f>
        <v/>
      </c>
      <c r="K67" s="406">
        <f>IF(E67&gt;0,VLOOKUP(E67,PRZEWODY!$B$69:$Z$140,M67-1,0),0)</f>
        <v>0</v>
      </c>
      <c r="L67" s="425" t="str">
        <f>IF(E67&gt;0,VLOOKUP(E67,PRZEWODY!$B$69:$AA$140,26,0),"")</f>
        <v/>
      </c>
      <c r="M67" s="106">
        <f t="shared" si="64"/>
        <v>3</v>
      </c>
    </row>
    <row r="68" spans="2:15" ht="21" customHeight="1">
      <c r="B68" s="141" t="s">
        <v>36</v>
      </c>
      <c r="C68" s="142" t="s">
        <v>113</v>
      </c>
      <c r="D68" s="143"/>
      <c r="E68" s="429"/>
      <c r="F68" s="410"/>
      <c r="G68" s="406">
        <v>0</v>
      </c>
      <c r="H68" s="406"/>
      <c r="I68" s="406" t="str">
        <f>IF(E68&gt;0,VLOOKUP(E68,PRZEWODY!$B$69:$Z$140,M68,0),"")</f>
        <v/>
      </c>
      <c r="J68" s="405" t="str">
        <f>IF(E68&gt;0,VLOOKUP(E68,PRZEWODY!$B$69:$Z$140,M68+1,0),"")</f>
        <v/>
      </c>
      <c r="K68" s="406">
        <f>IF(E68&gt;0,VLOOKUP(E68,PRZEWODY!$B$69:$Z$140,M68-1,0),0)</f>
        <v>0</v>
      </c>
      <c r="L68" s="425" t="str">
        <f>IF(E68&gt;0,VLOOKUP(E68,PRZEWODY!$B$69:$AA$140,26,0),"")</f>
        <v/>
      </c>
      <c r="M68" s="106">
        <f t="shared" si="64"/>
        <v>3</v>
      </c>
    </row>
    <row r="69" spans="2:15" ht="21" customHeight="1">
      <c r="B69" s="141" t="s">
        <v>37</v>
      </c>
      <c r="C69" s="142" t="s">
        <v>114</v>
      </c>
      <c r="D69" s="143"/>
      <c r="E69" s="429"/>
      <c r="F69" s="410"/>
      <c r="G69" s="405">
        <v>0</v>
      </c>
      <c r="H69" s="405"/>
      <c r="I69" s="406" t="str">
        <f>IF(E69&gt;0,VLOOKUP(E69,PRZEWODY!$B$69:$Z$140,M69,0),"")</f>
        <v/>
      </c>
      <c r="J69" s="405" t="str">
        <f>IF(E69&gt;0,VLOOKUP(E69,PRZEWODY!$B$69:$Z$140,M69+1,0),"")</f>
        <v/>
      </c>
      <c r="K69" s="406">
        <f>IF(E69&gt;0,VLOOKUP(E69,PRZEWODY!$B$69:$Z$140,M69-1,0),0)</f>
        <v>0</v>
      </c>
      <c r="L69" s="425" t="str">
        <f>IF(E69&gt;0,VLOOKUP(E69,PRZEWODY!$B$69:$AA$140,26,0),"")</f>
        <v/>
      </c>
      <c r="M69" s="106">
        <f t="shared" si="64"/>
        <v>3</v>
      </c>
    </row>
    <row r="70" spans="2:15" ht="21" customHeight="1">
      <c r="B70" s="141" t="s">
        <v>38</v>
      </c>
      <c r="C70" s="142" t="s">
        <v>115</v>
      </c>
      <c r="D70" s="143"/>
      <c r="E70" s="429"/>
      <c r="F70" s="410"/>
      <c r="G70" s="405">
        <v>0</v>
      </c>
      <c r="H70" s="405"/>
      <c r="I70" s="406" t="str">
        <f>IF(E70&gt;0,VLOOKUP(E70,PRZEWODY!$B$69:$Z$140,M70,0),"")</f>
        <v/>
      </c>
      <c r="J70" s="405" t="str">
        <f>IF(E70&gt;0,VLOOKUP(E70,PRZEWODY!$B$69:$Z$140,M70+1,0),"")</f>
        <v/>
      </c>
      <c r="K70" s="406">
        <f>IF(E70&gt;0,VLOOKUP(E70,PRZEWODY!$B$69:$Z$140,M70-1,0),0)</f>
        <v>0</v>
      </c>
      <c r="L70" s="425" t="str">
        <f>IF(E70&gt;0,VLOOKUP(E70,PRZEWODY!$B$69:$AA$140,26,0),"")</f>
        <v/>
      </c>
      <c r="M70" s="106">
        <f t="shared" si="64"/>
        <v>3</v>
      </c>
      <c r="O70" s="2"/>
    </row>
    <row r="71" spans="2:15" ht="21" customHeight="1">
      <c r="B71" s="141" t="s">
        <v>39</v>
      </c>
      <c r="C71" s="142" t="s">
        <v>116</v>
      </c>
      <c r="D71" s="143" t="s">
        <v>85</v>
      </c>
      <c r="E71" s="429"/>
      <c r="F71" s="410"/>
      <c r="G71" s="405">
        <v>0</v>
      </c>
      <c r="H71" s="405"/>
      <c r="I71" s="406" t="str">
        <f>IF(E71&gt;0,VLOOKUP(E71,PRZEWODY!$B$69:$Z$140,M71,0),"")</f>
        <v/>
      </c>
      <c r="J71" s="405" t="str">
        <f>IF(E71&gt;0,VLOOKUP(E71,PRZEWODY!$B$69:$Z$140,M71+1,0),"")</f>
        <v/>
      </c>
      <c r="K71" s="406">
        <f>IF(E71&gt;0,VLOOKUP(E71,PRZEWODY!$B$69:$Z$140,M71-1,0),0)</f>
        <v>0</v>
      </c>
      <c r="L71" s="425" t="str">
        <f>IF(E71&gt;0,VLOOKUP(E71,PRZEWODY!$B$69:$AA$140,26,0),"")</f>
        <v/>
      </c>
      <c r="M71" s="106">
        <f t="shared" si="64"/>
        <v>3</v>
      </c>
    </row>
    <row r="72" spans="2:15" ht="21" customHeight="1">
      <c r="B72" s="141" t="s">
        <v>40</v>
      </c>
      <c r="C72" s="142" t="s">
        <v>117</v>
      </c>
      <c r="D72" s="143" t="s">
        <v>85</v>
      </c>
      <c r="E72" s="429"/>
      <c r="F72" s="410"/>
      <c r="G72" s="404">
        <v>0</v>
      </c>
      <c r="H72" s="405"/>
      <c r="I72" s="406" t="str">
        <f>IF(E72&gt;0,VLOOKUP(E72,PRZEWODY!$B$69:$Z$140,M72,0),"")</f>
        <v/>
      </c>
      <c r="J72" s="405" t="str">
        <f>IF(E72&gt;0,VLOOKUP(E72,PRZEWODY!$B$69:$Z$140,M72+1,0),"")</f>
        <v/>
      </c>
      <c r="K72" s="406">
        <f>IF(E72&gt;0,VLOOKUP(E72,PRZEWODY!$B$69:$Z$140,M72-1,0),0)</f>
        <v>0</v>
      </c>
      <c r="L72" s="425" t="str">
        <f>IF(E72&gt;0,VLOOKUP(E72,PRZEWODY!$B$69:$AA$140,26,0),"")</f>
        <v/>
      </c>
      <c r="M72" s="106">
        <f t="shared" si="64"/>
        <v>3</v>
      </c>
    </row>
    <row r="73" spans="2:15" ht="21" customHeight="1">
      <c r="B73" s="141" t="s">
        <v>41</v>
      </c>
      <c r="C73" s="139" t="s">
        <v>118</v>
      </c>
      <c r="D73" s="140" t="s">
        <v>85</v>
      </c>
      <c r="E73" s="429"/>
      <c r="F73" s="422"/>
      <c r="G73" s="404">
        <v>0</v>
      </c>
      <c r="H73" s="405"/>
      <c r="I73" s="406" t="str">
        <f>IF(E73&gt;0,VLOOKUP(E73,PRZEWODY!$B$69:$Z$140,M73,0),"")</f>
        <v/>
      </c>
      <c r="J73" s="405" t="str">
        <f>IF(E73&gt;0,VLOOKUP(E73,PRZEWODY!$B$69:$Z$140,M73+1,0),"")</f>
        <v/>
      </c>
      <c r="K73" s="406">
        <f>IF(E73&gt;0,VLOOKUP(E73,PRZEWODY!$B$69:$Z$140,M73-1,0),0)</f>
        <v>0</v>
      </c>
      <c r="L73" s="425" t="str">
        <f>IF(E73&gt;0,VLOOKUP(E73,PRZEWODY!$B$69:$AA$140,26,0),"")</f>
        <v/>
      </c>
      <c r="M73" s="106">
        <f t="shared" si="64"/>
        <v>3</v>
      </c>
    </row>
    <row r="74" spans="2:15" ht="21" customHeight="1">
      <c r="B74" s="144" t="s">
        <v>42</v>
      </c>
      <c r="C74" s="142" t="s">
        <v>119</v>
      </c>
      <c r="D74" s="143" t="s">
        <v>85</v>
      </c>
      <c r="E74" s="429"/>
      <c r="F74" s="410"/>
      <c r="G74" s="405">
        <v>0</v>
      </c>
      <c r="H74" s="405"/>
      <c r="I74" s="406" t="str">
        <f>IF(E74&gt;0,VLOOKUP(E74,PRZEWODY!$B$69:$Z$140,M74,0),"")</f>
        <v/>
      </c>
      <c r="J74" s="405" t="str">
        <f>IF(E74&gt;0,VLOOKUP(E74,PRZEWODY!$B$69:$Z$140,M74+1,0),"")</f>
        <v/>
      </c>
      <c r="K74" s="406">
        <f>IF(E74&gt;0,VLOOKUP(E74,PRZEWODY!$B$69:$Z$140,M74-1,0),0)</f>
        <v>0</v>
      </c>
      <c r="L74" s="426" t="str">
        <f>IF(E74&gt;0,VLOOKUP(E74,PRZEWODY!$B$69:$AA$140,26,0),"")</f>
        <v/>
      </c>
      <c r="M74" s="106">
        <f t="shared" si="64"/>
        <v>3</v>
      </c>
    </row>
    <row r="75" spans="2:15" ht="21" customHeight="1" thickBot="1">
      <c r="B75" s="145" t="s">
        <v>43</v>
      </c>
      <c r="C75" s="146" t="s">
        <v>120</v>
      </c>
      <c r="D75" s="147" t="s">
        <v>85</v>
      </c>
      <c r="E75" s="429"/>
      <c r="F75" s="409"/>
      <c r="G75" s="406">
        <v>0</v>
      </c>
      <c r="H75" s="406"/>
      <c r="I75" s="406" t="str">
        <f>IF(E75&gt;0,VLOOKUP(E75,PRZEWODY!$B$69:$Z$140,M75,0),"")</f>
        <v/>
      </c>
      <c r="J75" s="427" t="str">
        <f>IF(E75&gt;0,VLOOKUP(E75,PRZEWODY!$B$69:$Z$140,M75+1,0),"")</f>
        <v/>
      </c>
      <c r="K75" s="406">
        <f>IF(E75&gt;0,VLOOKUP(E75,PRZEWODY!$B$69:$Z$140,M75-1,0),0)</f>
        <v>0</v>
      </c>
      <c r="L75" s="428" t="str">
        <f>IF(E75&gt;0,VLOOKUP(E75,PRZEWODY!$B$69:$AA$140,26,0),"")</f>
        <v/>
      </c>
      <c r="M75" s="106">
        <f t="shared" si="64"/>
        <v>3</v>
      </c>
    </row>
    <row r="76" spans="2:15" ht="21" customHeight="1">
      <c r="B76" s="479" t="s">
        <v>596</v>
      </c>
      <c r="C76" s="480"/>
      <c r="D76" s="480"/>
      <c r="E76" s="480"/>
      <c r="F76" s="480"/>
      <c r="G76" s="480"/>
      <c r="H76" s="480"/>
      <c r="I76" s="480"/>
      <c r="J76" s="480"/>
      <c r="K76" s="480"/>
      <c r="L76" s="481"/>
      <c r="M76" s="5"/>
    </row>
    <row r="77" spans="2:15" ht="21" customHeight="1">
      <c r="B77" s="482"/>
      <c r="C77" s="483"/>
      <c r="D77" s="483"/>
      <c r="E77" s="483"/>
      <c r="F77" s="483"/>
      <c r="G77" s="483"/>
      <c r="H77" s="483"/>
      <c r="I77" s="483"/>
      <c r="J77" s="483"/>
      <c r="K77" s="483"/>
      <c r="L77" s="484"/>
      <c r="M77" s="5"/>
    </row>
    <row r="78" spans="2:15" ht="21" customHeight="1">
      <c r="B78" s="148" t="s">
        <v>121</v>
      </c>
      <c r="C78" s="474"/>
      <c r="D78" s="463"/>
      <c r="E78" s="149" t="s">
        <v>122</v>
      </c>
      <c r="F78" s="150"/>
      <c r="G78" s="151"/>
      <c r="H78" s="152"/>
      <c r="I78" s="152" t="s">
        <v>124</v>
      </c>
      <c r="J78" s="433"/>
      <c r="K78" s="150" t="s">
        <v>126</v>
      </c>
      <c r="L78" s="153"/>
      <c r="M78" s="5"/>
    </row>
    <row r="79" spans="2:15" ht="21" customHeight="1">
      <c r="B79" s="448" t="s">
        <v>127</v>
      </c>
      <c r="C79" s="446"/>
      <c r="D79" s="446"/>
      <c r="E79" s="446"/>
      <c r="F79" s="154"/>
      <c r="G79" s="4">
        <f>ROUND(ABS(L37),2)</f>
        <v>0</v>
      </c>
      <c r="H79" s="85" t="s">
        <v>62</v>
      </c>
      <c r="I79" s="85"/>
      <c r="J79" s="5"/>
      <c r="K79" s="4"/>
      <c r="L79" s="90"/>
      <c r="M79" s="5"/>
    </row>
    <row r="80" spans="2:15" ht="21" customHeight="1">
      <c r="B80" s="448" t="s">
        <v>128</v>
      </c>
      <c r="C80" s="446"/>
      <c r="D80" s="446"/>
      <c r="E80" s="446"/>
      <c r="F80" s="154"/>
      <c r="G80" s="4">
        <f>ROUND(ABS(K37),2)</f>
        <v>0</v>
      </c>
      <c r="H80" s="85" t="s">
        <v>62</v>
      </c>
      <c r="I80" s="85"/>
      <c r="J80" s="5"/>
      <c r="K80" s="4"/>
      <c r="L80" s="90"/>
      <c r="M80" s="5"/>
    </row>
    <row r="81" spans="2:39" ht="21" customHeight="1">
      <c r="B81" s="448" t="s">
        <v>129</v>
      </c>
      <c r="C81" s="446"/>
      <c r="D81" s="446"/>
      <c r="E81" s="446"/>
      <c r="F81" s="154"/>
      <c r="G81" s="4">
        <f>ABS(ROUND(L38,2))*0.2</f>
        <v>0</v>
      </c>
      <c r="H81" s="5" t="s">
        <v>62</v>
      </c>
      <c r="I81" s="5"/>
      <c r="J81" s="5"/>
      <c r="K81" s="4"/>
      <c r="L81" s="90"/>
      <c r="M81" s="5"/>
    </row>
    <row r="82" spans="2:39" ht="21" customHeight="1">
      <c r="B82" s="448" t="s">
        <v>130</v>
      </c>
      <c r="C82" s="446"/>
      <c r="D82" s="446"/>
      <c r="E82" s="446"/>
      <c r="F82" s="154"/>
      <c r="G82" s="4">
        <f>ABS(ROUND(K38,2))*0.2</f>
        <v>0</v>
      </c>
      <c r="H82" s="5" t="s">
        <v>62</v>
      </c>
      <c r="I82" s="5"/>
      <c r="J82" s="5"/>
      <c r="K82" s="4"/>
      <c r="L82" s="90"/>
      <c r="M82" s="5"/>
    </row>
    <row r="83" spans="2:39" ht="21" customHeight="1">
      <c r="B83" s="470" t="e">
        <f>CONCATENATE("siła wypadkowa od przewodów pod kątem  ",K83," °   =")</f>
        <v>#N/A</v>
      </c>
      <c r="C83" s="446"/>
      <c r="D83" s="446"/>
      <c r="E83" s="446"/>
      <c r="F83" s="155"/>
      <c r="G83" s="156" t="e">
        <f>ROUND(C97,2)</f>
        <v>#N/A</v>
      </c>
      <c r="H83" s="157" t="s">
        <v>62</v>
      </c>
      <c r="I83" s="158" t="e">
        <f>INT(DEGREES(ACOS(K36/C97)))</f>
        <v>#N/A</v>
      </c>
      <c r="J83" s="159"/>
      <c r="K83" s="160" t="e">
        <f>IF(L36&lt;0,360-I83,I83)</f>
        <v>#N/A</v>
      </c>
      <c r="L83" s="161"/>
      <c r="M83" s="162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</row>
    <row r="84" spans="2:39" ht="21" customHeight="1">
      <c r="B84" s="448" t="s">
        <v>131</v>
      </c>
      <c r="C84" s="446"/>
      <c r="D84" s="446"/>
      <c r="E84" s="446"/>
      <c r="F84" s="154"/>
      <c r="G84" s="163" t="e">
        <f>VLOOKUP(G78,SŁUPY!A3:G111,5,0)</f>
        <v>#N/A</v>
      </c>
      <c r="H84" s="5" t="s">
        <v>62</v>
      </c>
      <c r="I84" s="5"/>
      <c r="J84" s="5"/>
      <c r="K84" s="4"/>
      <c r="L84" s="90"/>
      <c r="M84" s="5"/>
    </row>
    <row r="85" spans="2:39" ht="21" customHeight="1">
      <c r="B85" s="448" t="s">
        <v>132</v>
      </c>
      <c r="C85" s="446"/>
      <c r="D85" s="446"/>
      <c r="E85" s="446"/>
      <c r="F85" s="154"/>
      <c r="G85" s="163" t="e">
        <f>VLOOKUP(G78,SŁUPY!A3:G111,4,0)</f>
        <v>#N/A</v>
      </c>
      <c r="H85" s="5" t="s">
        <v>62</v>
      </c>
      <c r="I85" s="5"/>
      <c r="J85" s="5"/>
      <c r="K85" s="4"/>
      <c r="L85" s="90"/>
      <c r="M85" s="5"/>
    </row>
    <row r="86" spans="2:39" ht="21" customHeight="1">
      <c r="B86" s="448" t="s">
        <v>133</v>
      </c>
      <c r="C86" s="446"/>
      <c r="D86" s="446"/>
      <c r="E86" s="446"/>
      <c r="F86" s="154"/>
      <c r="G86" s="4">
        <v>0</v>
      </c>
      <c r="H86" s="5" t="s">
        <v>62</v>
      </c>
      <c r="I86" s="5"/>
      <c r="J86" s="5"/>
      <c r="K86" s="4"/>
      <c r="L86" s="90"/>
      <c r="M86" s="5"/>
    </row>
    <row r="87" spans="2:39" ht="21" customHeight="1">
      <c r="B87" s="448" t="s">
        <v>134</v>
      </c>
      <c r="C87" s="446"/>
      <c r="D87" s="446"/>
      <c r="E87" s="446"/>
      <c r="F87" s="154"/>
      <c r="G87" s="4">
        <v>20</v>
      </c>
      <c r="H87" s="5" t="s">
        <v>62</v>
      </c>
      <c r="I87" s="164"/>
      <c r="J87" s="165" t="s">
        <v>135</v>
      </c>
      <c r="K87" s="166" t="s">
        <v>136</v>
      </c>
      <c r="L87" s="166" t="s">
        <v>137</v>
      </c>
      <c r="M87" s="5"/>
    </row>
    <row r="88" spans="2:39" ht="21" customHeight="1">
      <c r="B88" s="448" t="s">
        <v>138</v>
      </c>
      <c r="C88" s="446"/>
      <c r="D88" s="446"/>
      <c r="E88" s="446"/>
      <c r="F88" s="154"/>
      <c r="G88" s="167">
        <v>0</v>
      </c>
      <c r="H88" s="5" t="s">
        <v>62</v>
      </c>
      <c r="I88" s="168" t="s">
        <v>139</v>
      </c>
      <c r="J88" s="169">
        <v>7</v>
      </c>
      <c r="K88" s="170">
        <v>10</v>
      </c>
      <c r="L88" s="170">
        <v>15</v>
      </c>
      <c r="M88" s="5"/>
    </row>
    <row r="89" spans="2:39" ht="21" customHeight="1">
      <c r="B89" s="89"/>
      <c r="C89" s="2"/>
      <c r="D89" s="2"/>
      <c r="E89" s="2"/>
      <c r="F89" s="4"/>
      <c r="G89" s="4"/>
      <c r="H89" s="5"/>
      <c r="I89" s="171"/>
      <c r="J89" s="172"/>
      <c r="K89" s="164"/>
      <c r="L89" s="173"/>
      <c r="M89" s="5"/>
    </row>
    <row r="90" spans="2:39" ht="21" customHeight="1" outlineLevel="1">
      <c r="B90" s="466" t="s">
        <v>140</v>
      </c>
      <c r="C90" s="456"/>
      <c r="D90" s="456"/>
      <c r="E90" s="456"/>
      <c r="F90" s="174"/>
      <c r="G90" s="174"/>
      <c r="H90" s="175"/>
      <c r="I90" s="176">
        <f>SUM(K44:K51)</f>
        <v>0</v>
      </c>
      <c r="J90" s="177"/>
      <c r="K90" s="178"/>
      <c r="L90" s="88"/>
      <c r="M90" s="5"/>
    </row>
    <row r="91" spans="2:39" ht="21" customHeight="1" outlineLevel="1">
      <c r="B91" s="457" t="s">
        <v>141</v>
      </c>
      <c r="C91" s="446"/>
      <c r="D91" s="446"/>
      <c r="E91" s="446"/>
      <c r="F91" s="70"/>
      <c r="G91" s="70"/>
      <c r="H91" s="179"/>
      <c r="I91" s="180">
        <f>E40</f>
        <v>0</v>
      </c>
      <c r="J91" s="181"/>
      <c r="K91" s="4"/>
      <c r="L91" s="90"/>
      <c r="M91" s="5"/>
    </row>
    <row r="92" spans="2:39" ht="21" customHeight="1" outlineLevel="1">
      <c r="B92" s="148"/>
      <c r="C92" s="462" t="s">
        <v>142</v>
      </c>
      <c r="D92" s="453"/>
      <c r="E92" s="453"/>
      <c r="F92" s="453"/>
      <c r="G92" s="453"/>
      <c r="H92" s="463"/>
      <c r="I92" s="152"/>
      <c r="J92" s="182"/>
      <c r="K92" s="150"/>
      <c r="L92" s="183"/>
      <c r="M92" s="4"/>
      <c r="P92" s="184"/>
    </row>
    <row r="93" spans="2:39" ht="21" customHeight="1" outlineLevel="1">
      <c r="B93" s="464" t="s">
        <v>143</v>
      </c>
      <c r="C93" s="446"/>
      <c r="D93" s="446"/>
      <c r="E93" s="446"/>
      <c r="F93" s="185"/>
      <c r="G93" s="445" t="str">
        <f>IF(OR(AND(88&lt;E40,E40&lt;92),(AND(-92&lt;E40,E40&lt;-88))),CONCATENATE(" = ",SUM(K44:K51)," + ",G81," = "),CONCATENATE(" = ",ROUND(ABS(SIN(RADIANS(E40)))*SUM(K44:K51),2)," + ",G81," == "))</f>
        <v xml:space="preserve"> = 0 + 0 == </v>
      </c>
      <c r="H93" s="446"/>
      <c r="I93" s="186">
        <f t="shared" ref="I93:I94" si="65">C95</f>
        <v>0</v>
      </c>
      <c r="J93" s="181"/>
      <c r="K93" s="4"/>
      <c r="L93" s="90"/>
      <c r="M93" s="4"/>
    </row>
    <row r="94" spans="2:39" ht="21" customHeight="1" outlineLevel="1">
      <c r="B94" s="464" t="s">
        <v>144</v>
      </c>
      <c r="C94" s="446"/>
      <c r="D94" s="446"/>
      <c r="E94" s="446"/>
      <c r="F94" s="185"/>
      <c r="G94" s="445" t="e">
        <f>IF(OR(AND(88&lt;E40,E40&lt;92),(AND(-92&lt;E40,E40&lt;-88))),CONCATENATE(" = ",G82," + ",G84," + ",G87," + ",G88," + ",G86," = "), CONCATENATE(" = ",ABS(ROUND(COS(RADIANS(E40))*SUM(K44:K51),2))," + ",G82," + ",G84," + ",G87," + ",G88," + ",G86," = "))</f>
        <v>#N/A</v>
      </c>
      <c r="H94" s="446"/>
      <c r="I94" s="186" t="e">
        <f t="shared" si="65"/>
        <v>#N/A</v>
      </c>
      <c r="J94" s="181"/>
      <c r="K94" s="4"/>
      <c r="L94" s="90"/>
      <c r="M94" s="4"/>
      <c r="N94" s="187"/>
      <c r="P94" t="s">
        <v>145</v>
      </c>
    </row>
    <row r="95" spans="2:39" ht="21" customHeight="1" outlineLevel="1">
      <c r="B95" s="188" t="s">
        <v>146</v>
      </c>
      <c r="C95" s="189">
        <f>IF(OR(AND(88&lt;E40,E40&lt;92),(AND(-92&lt;E40,E40&lt;-88))),SUM(K44:K51)+G81,ABS(SIN(RADIANS(E40)))*SUM(K44:K51)+G81)</f>
        <v>0</v>
      </c>
      <c r="D95" s="190"/>
      <c r="E95" s="191" t="e">
        <f t="shared" ref="E95:E96" si="66">IF(I95&gt;C95,"&lt;","≥")</f>
        <v>#N/A</v>
      </c>
      <c r="F95" s="192"/>
      <c r="G95" s="447" t="s">
        <v>147</v>
      </c>
      <c r="H95" s="446"/>
      <c r="I95" s="194" t="e">
        <f>VLOOKUP(G78,SŁUPY!A3:G111,2,0)</f>
        <v>#N/A</v>
      </c>
      <c r="J95" s="5"/>
      <c r="K95" s="4" t="e">
        <f t="shared" ref="K95:K97" si="67">IF(I95&gt;C95,"Warunek spełniony","błąd")</f>
        <v>#N/A</v>
      </c>
      <c r="L95" s="90"/>
      <c r="M95" s="4"/>
      <c r="N95" s="187" t="e">
        <f>(100-(100*C95)/I95)/100</f>
        <v>#N/A</v>
      </c>
    </row>
    <row r="96" spans="2:39" ht="21" customHeight="1" outlineLevel="1">
      <c r="B96" s="188" t="s">
        <v>148</v>
      </c>
      <c r="C96" s="189" t="e">
        <f>IF(OR(AND(88&lt;E40,E40&lt;92),(AND(-92&lt;E40,E40&lt;-88))),G82+G84+G87+G88+G86,ABS(COS(RADIANS(E40))*SUM(K44:K51))+G82+G84+G87+G88+G86)</f>
        <v>#N/A</v>
      </c>
      <c r="D96" s="190"/>
      <c r="E96" s="191" t="e">
        <f t="shared" si="66"/>
        <v>#N/A</v>
      </c>
      <c r="F96" s="192"/>
      <c r="G96" s="447" t="s">
        <v>149</v>
      </c>
      <c r="H96" s="446"/>
      <c r="I96" s="194" t="e">
        <f>VLOOKUP(G78,SŁUPY!A3:G111,3,0)</f>
        <v>#N/A</v>
      </c>
      <c r="J96" s="5"/>
      <c r="K96" s="4" t="e">
        <f t="shared" si="67"/>
        <v>#N/A</v>
      </c>
      <c r="L96" s="90"/>
      <c r="M96" s="4"/>
      <c r="N96" s="187" t="e">
        <f t="shared" ref="N96" si="68">(100-(100*C96)/I96)/100</f>
        <v>#N/A</v>
      </c>
    </row>
    <row r="97" spans="2:21" ht="21" customHeight="1">
      <c r="B97" s="195" t="s">
        <v>150</v>
      </c>
      <c r="C97" s="196" t="e">
        <f>SQRT(C95^2+C96^2)</f>
        <v>#N/A</v>
      </c>
      <c r="D97" s="197"/>
      <c r="E97" s="198"/>
      <c r="F97" s="199"/>
      <c r="G97" s="476" t="s">
        <v>151</v>
      </c>
      <c r="H97" s="463"/>
      <c r="I97" s="200" t="e">
        <f>VLOOKUP(G78,SŁUPY!A3:G111,3,0)</f>
        <v>#N/A</v>
      </c>
      <c r="J97" s="201"/>
      <c r="K97" s="202" t="e">
        <f t="shared" si="67"/>
        <v>#N/A</v>
      </c>
      <c r="L97" s="203"/>
      <c r="M97" s="4" t="s">
        <v>111</v>
      </c>
      <c r="N97" s="187" t="e">
        <f>IF(N95&lt;N96,N95,N96)</f>
        <v>#N/A</v>
      </c>
    </row>
    <row r="98" spans="2:21" ht="21" customHeight="1">
      <c r="B98" s="195" t="s">
        <v>152</v>
      </c>
      <c r="C98" s="204"/>
      <c r="D98" s="197"/>
      <c r="E98" s="198"/>
      <c r="F98" s="199"/>
      <c r="G98" s="202" t="s">
        <v>153</v>
      </c>
      <c r="H98" s="199"/>
      <c r="I98" s="205"/>
      <c r="J98" s="206"/>
      <c r="K98" s="199"/>
      <c r="L98" s="203"/>
      <c r="M98" s="4"/>
      <c r="N98" s="187"/>
      <c r="U98" s="184"/>
    </row>
    <row r="99" spans="2:21" ht="21" customHeight="1" outlineLevel="1">
      <c r="B99" s="458" t="s">
        <v>154</v>
      </c>
      <c r="C99" s="459"/>
      <c r="D99" s="459"/>
      <c r="E99" s="459"/>
      <c r="F99" s="459"/>
      <c r="G99" s="460"/>
      <c r="H99" s="207"/>
      <c r="I99" s="208">
        <f>ABS(SUM(G52:G59)/COUNTA(G52:G59)-SUM(G44:G51)/COUNTA(G44:G51))</f>
        <v>0</v>
      </c>
      <c r="J99" s="209">
        <f>COS(RADIANS(G99/2))</f>
        <v>1</v>
      </c>
      <c r="K99" s="178"/>
      <c r="L99" s="88"/>
      <c r="M99" s="4"/>
    </row>
    <row r="100" spans="2:21" ht="21" customHeight="1" outlineLevel="1">
      <c r="B100" s="449" t="s">
        <v>155</v>
      </c>
      <c r="C100" s="446"/>
      <c r="D100" s="446"/>
      <c r="E100" s="446"/>
      <c r="F100" s="446"/>
      <c r="G100" s="446"/>
      <c r="H100" s="85"/>
      <c r="I100" s="210">
        <f>IF(SUM(K44:K51)=SUM(K52:K59),SUM(K44:K59)/2,MAX(SUM(K44:K51),SUM(K52:K59)))</f>
        <v>0</v>
      </c>
      <c r="J100" s="5"/>
      <c r="K100" s="4"/>
      <c r="L100" s="90"/>
      <c r="M100" s="4"/>
    </row>
    <row r="101" spans="2:21" ht="21" customHeight="1" outlineLevel="1">
      <c r="B101" s="452" t="s">
        <v>156</v>
      </c>
      <c r="C101" s="468"/>
      <c r="D101" s="468"/>
      <c r="E101" s="468"/>
      <c r="F101" s="468"/>
      <c r="G101" s="468"/>
      <c r="H101" s="468"/>
      <c r="I101" s="468"/>
      <c r="J101" s="468"/>
      <c r="K101" s="468"/>
      <c r="L101" s="469"/>
      <c r="M101" s="4"/>
    </row>
    <row r="102" spans="2:21" ht="21" customHeight="1" outlineLevel="1">
      <c r="B102" s="450" t="s">
        <v>157</v>
      </c>
      <c r="C102" s="446"/>
      <c r="D102" s="446"/>
      <c r="E102" s="446"/>
      <c r="F102" s="185"/>
      <c r="G102" s="461" t="e">
        <f>CONCATENATE(" = ","2 * ",I100," * ","cos(",I99/2, ")", " + ",G87," + ",G88," + ",G85," + ",G81," = ")</f>
        <v>#N/A</v>
      </c>
      <c r="H102" s="446"/>
      <c r="I102" s="434" t="e">
        <f>C104</f>
        <v>#N/A</v>
      </c>
      <c r="J102" s="5"/>
      <c r="K102" s="4"/>
      <c r="L102" s="90"/>
      <c r="M102" s="4"/>
    </row>
    <row r="103" spans="2:21" ht="21" customHeight="1" outlineLevel="1">
      <c r="B103" s="450" t="s">
        <v>158</v>
      </c>
      <c r="C103" s="446"/>
      <c r="D103" s="446"/>
      <c r="E103" s="446"/>
      <c r="F103" s="185"/>
      <c r="G103" s="461" t="e">
        <f>CONCATENATE(" = ",G82," + ",G84," + ",G87, " + ",G88," = ")</f>
        <v>#N/A</v>
      </c>
      <c r="H103" s="446"/>
      <c r="I103" s="434" t="e">
        <f>C105</f>
        <v>#N/A</v>
      </c>
      <c r="J103" s="5"/>
      <c r="K103" s="4"/>
      <c r="L103" s="90"/>
      <c r="M103" s="4"/>
      <c r="N103" s="187"/>
    </row>
    <row r="104" spans="2:21" ht="21" customHeight="1" outlineLevel="1">
      <c r="B104" s="188" t="s">
        <v>159</v>
      </c>
      <c r="C104" s="189" t="e">
        <f>ROUNDUP(2*I100*COS(RADIANS(I99/2))+G87+G88+G85+G81,2)</f>
        <v>#N/A</v>
      </c>
      <c r="D104" s="190"/>
      <c r="E104" s="191" t="e">
        <f t="shared" ref="E104:E105" si="69">IF(I104&gt;C104,"&lt;","≥")</f>
        <v>#N/A</v>
      </c>
      <c r="F104" s="192"/>
      <c r="G104" s="447" t="s">
        <v>160</v>
      </c>
      <c r="H104" s="446"/>
      <c r="I104" s="435" t="e">
        <f>I95</f>
        <v>#N/A</v>
      </c>
      <c r="J104" s="5"/>
      <c r="K104" s="4" t="e">
        <f t="shared" ref="K104:K106" si="70">IF(I104&gt;C104,"Warunek spełniony","błąd")</f>
        <v>#N/A</v>
      </c>
      <c r="L104" s="90"/>
      <c r="M104" s="4"/>
      <c r="N104" s="187" t="e">
        <f t="shared" ref="N104:N105" si="71">(100-(100*C104)/I104)/100</f>
        <v>#N/A</v>
      </c>
    </row>
    <row r="105" spans="2:21" ht="21" customHeight="1" outlineLevel="1">
      <c r="B105" s="188" t="s">
        <v>161</v>
      </c>
      <c r="C105" s="189" t="e">
        <f>G82+G84+G87+G88</f>
        <v>#N/A</v>
      </c>
      <c r="D105" s="190"/>
      <c r="E105" s="191" t="e">
        <f t="shared" si="69"/>
        <v>#N/A</v>
      </c>
      <c r="F105" s="192"/>
      <c r="G105" s="447" t="s">
        <v>162</v>
      </c>
      <c r="H105" s="446"/>
      <c r="I105" s="435" t="e">
        <f>I96</f>
        <v>#N/A</v>
      </c>
      <c r="J105" s="5"/>
      <c r="K105" s="4" t="e">
        <f t="shared" si="70"/>
        <v>#N/A</v>
      </c>
      <c r="L105" s="90"/>
      <c r="M105" s="4"/>
      <c r="N105" s="187" t="e">
        <f t="shared" si="71"/>
        <v>#N/A</v>
      </c>
    </row>
    <row r="106" spans="2:21" ht="21" customHeight="1">
      <c r="B106" s="195" t="s">
        <v>163</v>
      </c>
      <c r="C106" s="196" t="e">
        <f>SQRT(C104^2+C105^2)</f>
        <v>#N/A</v>
      </c>
      <c r="D106" s="198"/>
      <c r="E106" s="197"/>
      <c r="F106" s="212"/>
      <c r="G106" s="476" t="s">
        <v>151</v>
      </c>
      <c r="H106" s="463"/>
      <c r="I106" s="436" t="e">
        <f>VLOOKUP(G78,SŁUPY!A3:G111,3,0)</f>
        <v>#N/A</v>
      </c>
      <c r="J106" s="213"/>
      <c r="K106" s="214" t="e">
        <f t="shared" si="70"/>
        <v>#N/A</v>
      </c>
      <c r="L106" s="203"/>
      <c r="M106" s="4" t="s">
        <v>82</v>
      </c>
      <c r="N106" s="187" t="e">
        <f>IF(N104&lt;N105,N104,N105)</f>
        <v>#N/A</v>
      </c>
    </row>
    <row r="107" spans="2:21" ht="21" customHeight="1">
      <c r="B107" s="215" t="s">
        <v>164</v>
      </c>
      <c r="C107" s="216"/>
      <c r="D107" s="217"/>
      <c r="E107" s="218"/>
      <c r="F107" s="219"/>
      <c r="G107" s="220" t="s">
        <v>153</v>
      </c>
      <c r="H107" s="221"/>
      <c r="I107" s="437"/>
      <c r="J107" s="222"/>
      <c r="K107" s="223"/>
      <c r="L107" s="224"/>
      <c r="M107" s="4"/>
      <c r="N107" s="187"/>
    </row>
    <row r="108" spans="2:21" ht="21" customHeight="1" outlineLevel="1">
      <c r="B108" s="449" t="s">
        <v>165</v>
      </c>
      <c r="C108" s="446"/>
      <c r="D108" s="446"/>
      <c r="E108" s="446"/>
      <c r="F108" s="446"/>
      <c r="G108" s="446"/>
      <c r="H108" s="225" t="s">
        <v>166</v>
      </c>
      <c r="I108" s="434">
        <f>ROUNDUP(ROUND(SUM(R24:R34),3)*0.2,2)</f>
        <v>0</v>
      </c>
      <c r="J108" s="5"/>
      <c r="K108" s="4"/>
      <c r="L108" s="90"/>
      <c r="M108" s="4"/>
    </row>
    <row r="109" spans="2:21" ht="21" customHeight="1" outlineLevel="1">
      <c r="B109" s="449" t="s">
        <v>167</v>
      </c>
      <c r="C109" s="446"/>
      <c r="D109" s="446"/>
      <c r="E109" s="446"/>
      <c r="F109" s="446"/>
      <c r="G109" s="446"/>
      <c r="H109" s="225" t="s">
        <v>168</v>
      </c>
      <c r="I109" s="434">
        <f>ROUNDUP(ROUND(SUM(Q24:Q34),3)*0.2,2)</f>
        <v>0</v>
      </c>
      <c r="J109" s="5"/>
      <c r="K109" s="4"/>
      <c r="L109" s="90"/>
      <c r="M109" s="4"/>
    </row>
    <row r="110" spans="2:21" ht="21" customHeight="1" outlineLevel="1">
      <c r="B110" s="449" t="s">
        <v>169</v>
      </c>
      <c r="C110" s="446"/>
      <c r="D110" s="446"/>
      <c r="E110" s="446"/>
      <c r="F110" s="446"/>
      <c r="G110" s="446"/>
      <c r="H110" s="5"/>
      <c r="I110" s="434">
        <f>(L44*H44+L45*H45+L47*H47+H46*L46+L48*H48+L49*H49+L50*H50+L51*H51+L52*H52+L53*H53+L54*H54+L55*H55+L56*H56+L57*H57+L58*H58+L59*H59)/2</f>
        <v>0</v>
      </c>
      <c r="J110" s="5"/>
      <c r="K110" s="4"/>
      <c r="L110" s="90"/>
      <c r="M110" s="4"/>
    </row>
    <row r="111" spans="2:21" ht="21" customHeight="1" outlineLevel="1">
      <c r="B111" s="449" t="s">
        <v>170</v>
      </c>
      <c r="C111" s="446"/>
      <c r="D111" s="446"/>
      <c r="E111" s="446"/>
      <c r="F111" s="446"/>
      <c r="G111" s="446"/>
      <c r="H111" s="5"/>
      <c r="I111" s="434">
        <f>(L60*H60+L61*H61+L62*H62+L64*H64+H63*L63)/2</f>
        <v>0</v>
      </c>
      <c r="J111" s="5"/>
      <c r="K111" s="4"/>
      <c r="L111" s="90"/>
      <c r="M111" s="4"/>
    </row>
    <row r="112" spans="2:21" ht="21" customHeight="1" outlineLevel="1">
      <c r="B112" s="452" t="s">
        <v>171</v>
      </c>
      <c r="C112" s="468"/>
      <c r="D112" s="468"/>
      <c r="E112" s="468"/>
      <c r="F112" s="468"/>
      <c r="G112" s="468"/>
      <c r="H112" s="468"/>
      <c r="I112" s="468"/>
      <c r="J112" s="468"/>
      <c r="K112" s="468"/>
      <c r="L112" s="469"/>
      <c r="M112" s="4"/>
    </row>
    <row r="113" spans="2:14" ht="21" customHeight="1" outlineLevel="1">
      <c r="B113" s="450" t="s">
        <v>172</v>
      </c>
      <c r="C113" s="446"/>
      <c r="D113" s="446"/>
      <c r="E113" s="446"/>
      <c r="F113" s="185"/>
      <c r="G113" s="85" t="e">
        <f>CONCATENATE(I110," + ",G87," + ",G85, " + ",G88," + ",I108," = ")</f>
        <v>#N/A</v>
      </c>
      <c r="H113" s="5"/>
      <c r="I113" s="210" t="e">
        <f t="shared" ref="I113:I114" si="72">C115</f>
        <v>#N/A</v>
      </c>
      <c r="J113" s="5"/>
      <c r="K113" s="4"/>
      <c r="L113" s="90"/>
      <c r="M113" s="4"/>
      <c r="N113" s="86"/>
    </row>
    <row r="114" spans="2:14" ht="21" customHeight="1" outlineLevel="1">
      <c r="B114" s="450" t="s">
        <v>173</v>
      </c>
      <c r="C114" s="446"/>
      <c r="D114" s="446"/>
      <c r="E114" s="446"/>
      <c r="F114" s="185"/>
      <c r="G114" s="85" t="e">
        <f>CONCATENATE(I111," + ",G87," + ",G84, " + ",G88," + ",I109," = ")</f>
        <v>#N/A</v>
      </c>
      <c r="H114" s="5"/>
      <c r="I114" s="210" t="e">
        <f t="shared" si="72"/>
        <v>#N/A</v>
      </c>
      <c r="J114" s="5"/>
      <c r="K114" s="4"/>
      <c r="L114" s="90"/>
      <c r="M114" s="4"/>
    </row>
    <row r="115" spans="2:14" ht="21" customHeight="1" outlineLevel="1">
      <c r="B115" s="188" t="s">
        <v>174</v>
      </c>
      <c r="C115" s="189" t="e">
        <f>I110+G87+I108+G85+G88</f>
        <v>#N/A</v>
      </c>
      <c r="D115" s="1"/>
      <c r="E115" s="191" t="e">
        <f t="shared" ref="E115:E116" si="73">IF(I115&gt;C115,"&lt;","≥")</f>
        <v>#N/A</v>
      </c>
      <c r="F115" s="192"/>
      <c r="G115" s="447" t="s">
        <v>160</v>
      </c>
      <c r="H115" s="446"/>
      <c r="I115" s="194" t="e">
        <f t="shared" ref="I115:I116" si="74">I104</f>
        <v>#N/A</v>
      </c>
      <c r="J115" s="5"/>
      <c r="K115" s="4" t="e">
        <f t="shared" ref="K115:K116" si="75">IF(I115&gt;C115,"Warunek spełniony","błąd")</f>
        <v>#N/A</v>
      </c>
      <c r="L115" s="90"/>
      <c r="M115" s="4"/>
      <c r="N115" s="187" t="e">
        <f t="shared" ref="N115:N116" si="76">(100-(100*C115)/I115)/100</f>
        <v>#N/A</v>
      </c>
    </row>
    <row r="116" spans="2:14" ht="21" customHeight="1" outlineLevel="1">
      <c r="B116" s="188" t="s">
        <v>175</v>
      </c>
      <c r="C116" s="189" t="e">
        <f>I111+I109+G84+G87+G88</f>
        <v>#N/A</v>
      </c>
      <c r="D116" s="190"/>
      <c r="E116" s="191" t="e">
        <f t="shared" si="73"/>
        <v>#N/A</v>
      </c>
      <c r="F116" s="192"/>
      <c r="G116" s="447" t="s">
        <v>162</v>
      </c>
      <c r="H116" s="446"/>
      <c r="I116" s="194" t="e">
        <f t="shared" si="74"/>
        <v>#N/A</v>
      </c>
      <c r="J116" s="5"/>
      <c r="K116" s="4" t="e">
        <f t="shared" si="75"/>
        <v>#N/A</v>
      </c>
      <c r="L116" s="90"/>
      <c r="M116" s="4"/>
      <c r="N116" s="187" t="e">
        <f t="shared" si="76"/>
        <v>#N/A</v>
      </c>
    </row>
    <row r="117" spans="2:14" ht="21" customHeight="1">
      <c r="B117" s="226" t="s">
        <v>176</v>
      </c>
      <c r="C117" s="204"/>
      <c r="D117" s="197"/>
      <c r="E117" s="198"/>
      <c r="F117" s="199"/>
      <c r="G117" s="202" t="s">
        <v>177</v>
      </c>
      <c r="H117" s="199"/>
      <c r="I117" s="227" t="e">
        <f>VLOOKUP(G78,SŁUPY!A3:G111,3,0)</f>
        <v>#N/A</v>
      </c>
      <c r="J117" s="201" t="s">
        <v>62</v>
      </c>
      <c r="K117" s="202" t="e">
        <f t="shared" ref="K117:K118" si="77">IF(I117&gt;C115,"Warunek spełniony","błąd")</f>
        <v>#N/A</v>
      </c>
      <c r="L117" s="203"/>
      <c r="M117" s="4" t="s">
        <v>178</v>
      </c>
      <c r="N117" s="187" t="e">
        <f>IF(N115&lt;N116,N115,N116)</f>
        <v>#N/A</v>
      </c>
    </row>
    <row r="118" spans="2:14" ht="21" customHeight="1">
      <c r="B118" s="226" t="s">
        <v>152</v>
      </c>
      <c r="C118" s="204"/>
      <c r="D118" s="197"/>
      <c r="E118" s="198"/>
      <c r="F118" s="199"/>
      <c r="G118" s="202" t="s">
        <v>179</v>
      </c>
      <c r="H118" s="199"/>
      <c r="I118" s="227" t="e">
        <f>VLOOKUP(G78,SŁUPY!A3:G111,3,0)</f>
        <v>#N/A</v>
      </c>
      <c r="J118" s="201" t="s">
        <v>62</v>
      </c>
      <c r="K118" s="202" t="e">
        <f t="shared" si="77"/>
        <v>#N/A</v>
      </c>
      <c r="L118" s="203"/>
      <c r="M118" s="4"/>
      <c r="N118" s="187"/>
    </row>
    <row r="119" spans="2:14" ht="21" customHeight="1" outlineLevel="1">
      <c r="B119" s="455" t="s">
        <v>180</v>
      </c>
      <c r="C119" s="456"/>
      <c r="D119" s="456"/>
      <c r="E119" s="456"/>
      <c r="F119" s="456"/>
      <c r="G119" s="456"/>
      <c r="H119" s="228"/>
      <c r="I119" s="176">
        <f>ROUND(I110,2)</f>
        <v>0</v>
      </c>
      <c r="J119" s="228"/>
      <c r="K119" s="178"/>
      <c r="L119" s="88"/>
      <c r="M119" s="4"/>
    </row>
    <row r="120" spans="2:14" ht="21" customHeight="1" outlineLevel="1">
      <c r="B120" s="449" t="s">
        <v>181</v>
      </c>
      <c r="C120" s="446"/>
      <c r="D120" s="446"/>
      <c r="E120" s="446"/>
      <c r="F120" s="446"/>
      <c r="G120" s="446"/>
      <c r="H120" s="5"/>
      <c r="I120" s="210">
        <f>ROUND(K60+K61+K62+K63+K64,2)</f>
        <v>0</v>
      </c>
      <c r="J120" s="5"/>
      <c r="K120" s="4"/>
      <c r="L120" s="90"/>
      <c r="M120" s="4"/>
    </row>
    <row r="121" spans="2:14" ht="21" customHeight="1" outlineLevel="1">
      <c r="B121" s="449" t="s">
        <v>182</v>
      </c>
      <c r="C121" s="446"/>
      <c r="D121" s="446"/>
      <c r="E121" s="446"/>
      <c r="F121" s="446"/>
      <c r="G121" s="446"/>
      <c r="H121" s="5"/>
      <c r="I121" s="180">
        <f>90-G60</f>
        <v>90</v>
      </c>
      <c r="J121" s="5"/>
      <c r="K121" s="4"/>
      <c r="L121" s="90"/>
      <c r="M121" s="4"/>
    </row>
    <row r="122" spans="2:14" ht="21" customHeight="1" outlineLevel="1">
      <c r="B122" s="449" t="s">
        <v>183</v>
      </c>
      <c r="C122" s="446"/>
      <c r="D122" s="446"/>
      <c r="E122" s="446"/>
      <c r="F122" s="446"/>
      <c r="G122" s="446"/>
      <c r="H122" s="5"/>
      <c r="I122" s="210">
        <f>ROUND(COS(RADIANS(90-I121))*I120,2)</f>
        <v>0</v>
      </c>
      <c r="J122" s="5"/>
      <c r="K122" s="4"/>
      <c r="L122" s="90"/>
      <c r="M122" s="4"/>
    </row>
    <row r="123" spans="2:14" ht="21" customHeight="1" outlineLevel="1">
      <c r="B123" s="449" t="s">
        <v>184</v>
      </c>
      <c r="C123" s="446"/>
      <c r="D123" s="446"/>
      <c r="E123" s="446"/>
      <c r="F123" s="446"/>
      <c r="G123" s="446"/>
      <c r="H123" s="5"/>
      <c r="I123" s="210">
        <f>SIN(RADIANS(90-I121))*I120</f>
        <v>0</v>
      </c>
      <c r="J123" s="5"/>
      <c r="K123" s="4"/>
      <c r="L123" s="90"/>
      <c r="M123" s="4"/>
    </row>
    <row r="124" spans="2:14" ht="21" customHeight="1" outlineLevel="1">
      <c r="B124" s="478" t="s">
        <v>185</v>
      </c>
      <c r="C124" s="453"/>
      <c r="D124" s="453"/>
      <c r="E124" s="453"/>
      <c r="F124" s="453"/>
      <c r="G124" s="453"/>
      <c r="H124" s="453"/>
      <c r="I124" s="453"/>
      <c r="J124" s="453"/>
      <c r="K124" s="453"/>
      <c r="L124" s="454"/>
      <c r="M124" s="4"/>
    </row>
    <row r="125" spans="2:14" ht="21" customHeight="1" outlineLevel="1">
      <c r="B125" s="450" t="s">
        <v>186</v>
      </c>
      <c r="C125" s="446"/>
      <c r="D125" s="446"/>
      <c r="E125" s="446"/>
      <c r="F125" s="185"/>
      <c r="G125" s="461" t="e">
        <f>CONCATENATE(I120," + ",I119," + ",G87," + ",G88," + ",G81," + ",G85," = ")</f>
        <v>#N/A</v>
      </c>
      <c r="H125" s="446"/>
      <c r="I125" s="210" t="e">
        <f t="shared" ref="I125:I126" si="78">C127</f>
        <v>#N/A</v>
      </c>
      <c r="J125" s="5"/>
      <c r="K125" s="4"/>
      <c r="L125" s="229"/>
      <c r="M125" s="4"/>
    </row>
    <row r="126" spans="2:14" ht="21" customHeight="1" outlineLevel="1">
      <c r="B126" s="450" t="s">
        <v>187</v>
      </c>
      <c r="C126" s="446"/>
      <c r="D126" s="446"/>
      <c r="E126" s="446"/>
      <c r="F126" s="185"/>
      <c r="G126" s="461" t="e">
        <f>CONCATENATE(I122," + ",G87," + ",G88," + ",G82," + ",G84, " = ")</f>
        <v>#N/A</v>
      </c>
      <c r="H126" s="446"/>
      <c r="I126" s="210" t="e">
        <f t="shared" si="78"/>
        <v>#N/A</v>
      </c>
      <c r="J126" s="5"/>
      <c r="K126" s="4"/>
      <c r="L126" s="229"/>
      <c r="M126" s="4"/>
    </row>
    <row r="127" spans="2:14" ht="21" customHeight="1" outlineLevel="1">
      <c r="B127" s="188" t="s">
        <v>188</v>
      </c>
      <c r="C127" s="189" t="e">
        <f>(I120+I119+G87+G88+G81+G85)</f>
        <v>#N/A</v>
      </c>
      <c r="D127" s="1"/>
      <c r="E127" s="191" t="e">
        <f t="shared" ref="E127:E128" si="79">IF(I127&gt;C127,"&lt;","≥")</f>
        <v>#N/A</v>
      </c>
      <c r="F127" s="192"/>
      <c r="G127" s="447" t="s">
        <v>160</v>
      </c>
      <c r="H127" s="446"/>
      <c r="I127" s="194" t="e">
        <f t="shared" ref="I127:I128" si="80">I115</f>
        <v>#N/A</v>
      </c>
      <c r="J127" s="5"/>
      <c r="K127" s="4" t="e">
        <f t="shared" ref="K127:K129" si="81">IF(I127&gt;C127,"Warunek spełniony","błąd")</f>
        <v>#N/A</v>
      </c>
      <c r="L127" s="229"/>
      <c r="M127" s="4"/>
      <c r="N127" s="187" t="e">
        <f t="shared" ref="N127:N128" si="82">(100-(100*C127)/I127)/100</f>
        <v>#N/A</v>
      </c>
    </row>
    <row r="128" spans="2:14" ht="21" customHeight="1" outlineLevel="1">
      <c r="B128" s="188" t="s">
        <v>189</v>
      </c>
      <c r="C128" s="189" t="e">
        <f>I122+G87+G82+G84+G88</f>
        <v>#N/A</v>
      </c>
      <c r="D128" s="190"/>
      <c r="E128" s="191" t="e">
        <f t="shared" si="79"/>
        <v>#N/A</v>
      </c>
      <c r="F128" s="192"/>
      <c r="G128" s="447" t="s">
        <v>162</v>
      </c>
      <c r="H128" s="446"/>
      <c r="I128" s="194" t="e">
        <f t="shared" si="80"/>
        <v>#N/A</v>
      </c>
      <c r="J128" s="5"/>
      <c r="K128" s="4" t="e">
        <f t="shared" si="81"/>
        <v>#N/A</v>
      </c>
      <c r="L128" s="229"/>
      <c r="M128" s="4"/>
      <c r="N128" s="187" t="e">
        <f t="shared" si="82"/>
        <v>#N/A</v>
      </c>
    </row>
    <row r="129" spans="1:39" ht="21" customHeight="1">
      <c r="B129" s="226" t="s">
        <v>150</v>
      </c>
      <c r="C129" s="204" t="e">
        <f>SQRT(C127*C127+C128*C128)</f>
        <v>#N/A</v>
      </c>
      <c r="D129" s="230"/>
      <c r="E129" s="198"/>
      <c r="F129" s="199"/>
      <c r="G129" s="202" t="s">
        <v>151</v>
      </c>
      <c r="H129" s="199"/>
      <c r="I129" s="227" t="e">
        <f>VLOOKUP(G78,SŁUPY!A3:G111,3,0)</f>
        <v>#N/A</v>
      </c>
      <c r="J129" s="201" t="s">
        <v>62</v>
      </c>
      <c r="K129" s="202" t="e">
        <f t="shared" si="81"/>
        <v>#N/A</v>
      </c>
      <c r="L129" s="231"/>
      <c r="M129" s="4" t="s">
        <v>63</v>
      </c>
      <c r="N129" s="187" t="e">
        <f>IF(N127&lt;N128,N127,N128)</f>
        <v>#N/A</v>
      </c>
    </row>
    <row r="130" spans="1:39" ht="21" customHeight="1">
      <c r="B130" s="226" t="s">
        <v>152</v>
      </c>
      <c r="C130" s="204"/>
      <c r="D130" s="230"/>
      <c r="E130" s="198"/>
      <c r="F130" s="199"/>
      <c r="G130" s="202" t="s">
        <v>153</v>
      </c>
      <c r="H130" s="199"/>
      <c r="I130" s="201"/>
      <c r="J130" s="213"/>
      <c r="K130" s="214"/>
      <c r="L130" s="231"/>
      <c r="M130" s="4"/>
      <c r="N130" s="187"/>
    </row>
    <row r="131" spans="1:39" ht="21" customHeight="1" outlineLevel="1">
      <c r="B131" s="477" t="s">
        <v>190</v>
      </c>
      <c r="C131" s="456"/>
      <c r="D131" s="456"/>
      <c r="E131" s="456"/>
      <c r="F131" s="456"/>
      <c r="G131" s="456"/>
      <c r="H131" s="232"/>
      <c r="I131" s="176">
        <f>ROUND(S39,2)</f>
        <v>0</v>
      </c>
      <c r="J131" s="233"/>
      <c r="K131" s="234"/>
      <c r="L131" s="235"/>
      <c r="M131" s="4"/>
    </row>
    <row r="132" spans="1:39" ht="21" customHeight="1" outlineLevel="1">
      <c r="B132" s="449" t="s">
        <v>191</v>
      </c>
      <c r="C132" s="446"/>
      <c r="D132" s="446"/>
      <c r="E132" s="446"/>
      <c r="F132" s="446"/>
      <c r="G132" s="446"/>
      <c r="H132" s="193"/>
      <c r="I132" s="236">
        <f>I99</f>
        <v>0</v>
      </c>
      <c r="J132" s="5"/>
      <c r="K132" s="4"/>
      <c r="L132" s="229"/>
      <c r="M132" s="4"/>
    </row>
    <row r="133" spans="1:39" ht="21" customHeight="1" outlineLevel="1">
      <c r="B133" s="449" t="s">
        <v>192</v>
      </c>
      <c r="C133" s="446"/>
      <c r="D133" s="446"/>
      <c r="E133" s="446"/>
      <c r="F133" s="446"/>
      <c r="G133" s="446"/>
      <c r="H133" s="193"/>
      <c r="I133" s="236">
        <f>E39</f>
        <v>0</v>
      </c>
      <c r="J133" s="236"/>
      <c r="K133" s="4"/>
      <c r="L133" s="229"/>
      <c r="M133" s="4"/>
    </row>
    <row r="134" spans="1:39" ht="21" customHeight="1" outlineLevel="1">
      <c r="B134" s="449" t="s">
        <v>193</v>
      </c>
      <c r="C134" s="446"/>
      <c r="D134" s="446"/>
      <c r="E134" s="446"/>
      <c r="F134" s="446"/>
      <c r="G134" s="446"/>
      <c r="H134" s="210"/>
      <c r="I134" s="237">
        <f>SUM(K44:K59)/2</f>
        <v>0</v>
      </c>
      <c r="J134" s="5"/>
      <c r="K134" s="4"/>
      <c r="L134" s="229"/>
      <c r="M134" s="4"/>
    </row>
    <row r="135" spans="1:39" ht="21" customHeight="1" outlineLevel="1">
      <c r="B135" s="452" t="s">
        <v>194</v>
      </c>
      <c r="C135" s="453"/>
      <c r="D135" s="453"/>
      <c r="E135" s="453"/>
      <c r="F135" s="453"/>
      <c r="G135" s="453"/>
      <c r="H135" s="453"/>
      <c r="I135" s="453"/>
      <c r="J135" s="453"/>
      <c r="K135" s="453"/>
      <c r="L135" s="454"/>
      <c r="M135" s="4"/>
    </row>
    <row r="136" spans="1:39" ht="21" customHeight="1" outlineLevel="1">
      <c r="A136" s="64"/>
      <c r="B136" s="486" t="s">
        <v>195</v>
      </c>
      <c r="C136" s="446"/>
      <c r="D136" s="446"/>
      <c r="E136" s="446"/>
      <c r="F136" s="238"/>
      <c r="G136" s="445" t="e">
        <f>CONCATENATE("2* ",I134," * ","cos(",I132/2, ")", " + ",G87," + ",G88," + ",G85," + ",G81," = ")</f>
        <v>#N/A</v>
      </c>
      <c r="H136" s="446"/>
      <c r="I136" s="186" t="e">
        <f>ABS(ROUNDUP(2*I134*COS(RADIANS(I132/2))+G87+G88+SQRT(G81*G81+G82*G82)+G85,2))</f>
        <v>#N/A</v>
      </c>
      <c r="J136" s="162"/>
      <c r="K136" s="58"/>
      <c r="L136" s="239"/>
      <c r="M136" s="58"/>
      <c r="N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  <c r="AL136" s="64"/>
      <c r="AM136" s="64"/>
    </row>
    <row r="137" spans="1:39" ht="21" customHeight="1" outlineLevel="1">
      <c r="B137" s="450" t="s">
        <v>196</v>
      </c>
      <c r="C137" s="446"/>
      <c r="D137" s="446"/>
      <c r="E137" s="446"/>
      <c r="F137" s="185"/>
      <c r="G137" s="461" t="e">
        <f>CONCATENATE(ABS(ROUND(SIN(RADIANS(I133))*I131,2))," + ",G87, " + ",G88," + ",G85," + ",G81," = ")</f>
        <v>#N/A</v>
      </c>
      <c r="H137" s="446"/>
      <c r="I137" s="210" t="e">
        <f>ABS(ROUND(SIN(RADIANS(I133))*I131,2))+G81+G87+G88+G85</f>
        <v>#N/A</v>
      </c>
      <c r="J137" s="5"/>
      <c r="K137" s="4"/>
      <c r="L137" s="229"/>
      <c r="M137" s="4"/>
    </row>
    <row r="138" spans="1:39" ht="21" customHeight="1" outlineLevel="1">
      <c r="B138" s="485" t="e">
        <f>IF(I136&gt;I137,"przyjęto Pux = Puxg &gt; Puxo","przyjęto Pux = Puxo &gt; Puxg")</f>
        <v>#N/A</v>
      </c>
      <c r="C138" s="446"/>
      <c r="D138" s="446"/>
      <c r="E138" s="446"/>
      <c r="F138" s="446"/>
      <c r="G138" s="446"/>
      <c r="H138" s="446"/>
      <c r="I138" s="5"/>
      <c r="J138" s="5"/>
      <c r="K138" s="4"/>
      <c r="L138" s="229"/>
      <c r="M138" s="4"/>
    </row>
    <row r="139" spans="1:39" ht="21" customHeight="1" outlineLevel="1">
      <c r="B139" s="450" t="s">
        <v>197</v>
      </c>
      <c r="C139" s="446"/>
      <c r="D139" s="446"/>
      <c r="E139" s="446"/>
      <c r="F139" s="185"/>
      <c r="G139" s="461" t="e">
        <f>CONCATENATE(ABS(ROUND(COS(RADIANS(I133))*I131,2))," + ",G82," + ",G84," + ",G87, " + ",G88," = ")</f>
        <v>#N/A</v>
      </c>
      <c r="H139" s="446"/>
      <c r="I139" s="210" t="e">
        <f>C141</f>
        <v>#N/A</v>
      </c>
      <c r="J139" s="5"/>
      <c r="K139" s="4"/>
      <c r="L139" s="229"/>
      <c r="M139" s="4"/>
    </row>
    <row r="140" spans="1:39" ht="21" customHeight="1" outlineLevel="1">
      <c r="B140" s="89" t="s">
        <v>198</v>
      </c>
      <c r="C140" s="189" t="e">
        <f>IF(I136&gt;I137,I136,I137)</f>
        <v>#N/A</v>
      </c>
      <c r="D140" s="190"/>
      <c r="E140" s="191" t="e">
        <f t="shared" ref="E140:E141" si="83">IF(I140&gt;C140,"&lt;","≥")</f>
        <v>#N/A</v>
      </c>
      <c r="F140" s="192"/>
      <c r="G140" s="447" t="s">
        <v>160</v>
      </c>
      <c r="H140" s="446"/>
      <c r="I140" s="194" t="e">
        <f t="shared" ref="I140:I141" si="84">I127</f>
        <v>#N/A</v>
      </c>
      <c r="J140" s="5"/>
      <c r="K140" s="4" t="e">
        <f t="shared" ref="K140:K141" si="85">IF(I140&gt;C140,"Warunek spełniony","błąd")</f>
        <v>#N/A</v>
      </c>
      <c r="L140" s="229"/>
      <c r="M140" s="4"/>
      <c r="N140" s="187" t="e">
        <f t="shared" ref="N140:N141" si="86">(100-(100*C140)/I140)/100</f>
        <v>#N/A</v>
      </c>
    </row>
    <row r="141" spans="1:39" ht="21" customHeight="1" outlineLevel="1">
      <c r="B141" s="89" t="s">
        <v>199</v>
      </c>
      <c r="C141" s="189" t="e">
        <f>ABS(ROUND(COS(RADIANS(I133))*I131,2))+G82+G84+G87+G88</f>
        <v>#N/A</v>
      </c>
      <c r="D141" s="190"/>
      <c r="E141" s="191" t="e">
        <f t="shared" si="83"/>
        <v>#N/A</v>
      </c>
      <c r="F141" s="192"/>
      <c r="G141" s="447" t="s">
        <v>162</v>
      </c>
      <c r="H141" s="446"/>
      <c r="I141" s="194" t="e">
        <f t="shared" si="84"/>
        <v>#N/A</v>
      </c>
      <c r="J141" s="5"/>
      <c r="K141" s="4" t="e">
        <f t="shared" si="85"/>
        <v>#N/A</v>
      </c>
      <c r="L141" s="229"/>
      <c r="M141" s="4" t="s">
        <v>200</v>
      </c>
      <c r="N141" s="187" t="e">
        <f t="shared" si="86"/>
        <v>#N/A</v>
      </c>
    </row>
    <row r="142" spans="1:39" ht="21" customHeight="1">
      <c r="B142" s="226" t="s">
        <v>201</v>
      </c>
      <c r="C142" s="204" t="e">
        <f>SQRT(C140*C140+C141*C141)</f>
        <v>#N/A</v>
      </c>
      <c r="D142" s="230"/>
      <c r="E142" s="198"/>
      <c r="F142" s="199"/>
      <c r="G142" s="202" t="s">
        <v>202</v>
      </c>
      <c r="H142" s="199"/>
      <c r="I142" s="227" t="e">
        <f>VLOOKUP(G78,SŁUPY!A3:G111,3,0)</f>
        <v>#N/A</v>
      </c>
      <c r="J142" s="213" t="s">
        <v>62</v>
      </c>
      <c r="K142" s="214" t="e">
        <f>IF(I142&gt;C140,"Warunek spełniony","błąd")</f>
        <v>#N/A</v>
      </c>
      <c r="L142" s="231"/>
      <c r="M142" s="4" t="s">
        <v>200</v>
      </c>
      <c r="N142" s="187" t="e">
        <f>IF(N140&lt;N141,N140,N141)</f>
        <v>#N/A</v>
      </c>
    </row>
    <row r="143" spans="1:39" ht="21" customHeight="1">
      <c r="B143" s="226" t="s">
        <v>152</v>
      </c>
      <c r="C143" s="204"/>
      <c r="D143" s="230"/>
      <c r="E143" s="198"/>
      <c r="F143" s="199"/>
      <c r="G143" s="202" t="s">
        <v>153</v>
      </c>
      <c r="H143" s="199"/>
      <c r="I143" s="201">
        <v>1000</v>
      </c>
      <c r="J143" s="213" t="s">
        <v>62</v>
      </c>
      <c r="K143" s="214" t="e">
        <f>IF(I143&gt;C142,"Warunek spełniony","błąd")</f>
        <v>#N/A</v>
      </c>
      <c r="L143" s="231"/>
      <c r="M143" s="4"/>
      <c r="N143" s="187"/>
    </row>
    <row r="144" spans="1:39" ht="21" customHeight="1" outlineLevel="1">
      <c r="B144" s="455" t="s">
        <v>203</v>
      </c>
      <c r="C144" s="456"/>
      <c r="D144" s="456"/>
      <c r="E144" s="456"/>
      <c r="F144" s="456"/>
      <c r="G144" s="456"/>
      <c r="H144" s="176"/>
      <c r="I144" s="176">
        <f>ROUND((L44*H44+L45*H45+L47*H47+H46*L46+L48*H48+L49*H49+L50*H50+L51*H51+L52*H52+L53*H53+L54*H54+L55*H55+L56*H56+L57*H57+L58*H58+L59*H59)/2,2)</f>
        <v>0</v>
      </c>
      <c r="J144" s="228"/>
      <c r="K144" s="178"/>
      <c r="L144" s="88"/>
      <c r="M144" s="4"/>
    </row>
    <row r="145" spans="2:16" ht="21" customHeight="1" outlineLevel="1">
      <c r="B145" s="449" t="s">
        <v>204</v>
      </c>
      <c r="C145" s="446"/>
      <c r="D145" s="446"/>
      <c r="E145" s="446"/>
      <c r="F145" s="446"/>
      <c r="G145" s="446"/>
      <c r="H145" s="210"/>
      <c r="I145" s="210">
        <f>IF(OR(SUM(D3:D10)=SUM(D11:D18),SUM(D3:D10)&gt;SUM(D11:D18)),ROUND(SUM(D3:D10),1),ROUND(SUM(D11:D18),1))</f>
        <v>0</v>
      </c>
      <c r="J145" s="5"/>
      <c r="K145" s="4"/>
      <c r="L145" s="90"/>
      <c r="M145" s="4"/>
    </row>
    <row r="146" spans="2:16" ht="21" customHeight="1" outlineLevel="1">
      <c r="B146" s="452" t="s">
        <v>205</v>
      </c>
      <c r="C146" s="453"/>
      <c r="D146" s="453"/>
      <c r="E146" s="453"/>
      <c r="F146" s="453"/>
      <c r="G146" s="453"/>
      <c r="H146" s="453"/>
      <c r="I146" s="453"/>
      <c r="J146" s="453"/>
      <c r="K146" s="453"/>
      <c r="L146" s="454"/>
      <c r="M146" s="4"/>
    </row>
    <row r="147" spans="2:16" ht="21" customHeight="1" outlineLevel="1">
      <c r="B147" s="450" t="s">
        <v>206</v>
      </c>
      <c r="C147" s="446"/>
      <c r="D147" s="446"/>
      <c r="E147" s="446"/>
      <c r="F147" s="185"/>
      <c r="G147" s="465" t="str">
        <f>IF(OR(SUM(D3:D10)=SUM(D11:D18),SUM(D3:D10)&gt;SUM(D11:D18)),CONCATENATE(ROUND(2/3*SUM(D3:D10),1)," + ",G81," = "),CONCATENATE(ROUND(2/3*SUM(D11:D18),1)," + ",G81," = "))</f>
        <v xml:space="preserve">0 + 0 = </v>
      </c>
      <c r="H147" s="446"/>
      <c r="I147" s="210">
        <f t="shared" ref="I147:I148" si="87">C150</f>
        <v>0</v>
      </c>
      <c r="J147" s="5"/>
      <c r="K147" s="240"/>
      <c r="L147" s="90"/>
      <c r="M147" s="4"/>
    </row>
    <row r="148" spans="2:16" ht="21" customHeight="1" outlineLevel="1">
      <c r="B148" s="450" t="s">
        <v>207</v>
      </c>
      <c r="C148" s="446"/>
      <c r="D148" s="446"/>
      <c r="E148" s="446"/>
      <c r="F148" s="185"/>
      <c r="G148" s="461" t="e">
        <f>CONCATENATE(ROUND(COS(RADIANS(I132/2)),2)*I145," + ",I144," + ",G84," + ",G87, " + ",G88," + ",G82," = ")</f>
        <v>#N/A</v>
      </c>
      <c r="H148" s="446"/>
      <c r="I148" s="210" t="e">
        <f t="shared" si="87"/>
        <v>#N/A</v>
      </c>
      <c r="J148" s="5"/>
      <c r="K148" s="4"/>
      <c r="L148" s="90"/>
      <c r="M148" s="4"/>
    </row>
    <row r="149" spans="2:16" ht="21" customHeight="1" outlineLevel="1">
      <c r="B149" s="211"/>
      <c r="C149" s="241"/>
      <c r="D149" s="241"/>
      <c r="E149" s="241"/>
      <c r="F149" s="185"/>
      <c r="G149" s="85"/>
      <c r="H149" s="5"/>
      <c r="I149" s="210"/>
      <c r="J149" s="5"/>
      <c r="K149" s="4"/>
      <c r="L149" s="90"/>
      <c r="M149" s="4"/>
    </row>
    <row r="150" spans="2:16" ht="21" customHeight="1" outlineLevel="1">
      <c r="B150" s="89" t="s">
        <v>208</v>
      </c>
      <c r="C150" s="189">
        <f>ROUND(2/3*MAX(SUM(D3:D10),SUM(D11:D18))+G81,1)</f>
        <v>0</v>
      </c>
      <c r="D150" s="190"/>
      <c r="E150" s="191" t="e">
        <f t="shared" ref="E150:E151" si="88">IF(I150&gt;C150,"&lt;","≥")</f>
        <v>#N/A</v>
      </c>
      <c r="F150" s="192"/>
      <c r="G150" s="447" t="s">
        <v>160</v>
      </c>
      <c r="H150" s="446"/>
      <c r="I150" s="194" t="e">
        <f t="shared" ref="I150:I151" si="89">I140</f>
        <v>#N/A</v>
      </c>
      <c r="J150" s="5"/>
      <c r="K150" s="4" t="e">
        <f t="shared" ref="K150:K153" si="90">IF(I150&gt;C150,"Warunek spełniony","błąd")</f>
        <v>#N/A</v>
      </c>
      <c r="L150" s="90"/>
      <c r="M150" s="4"/>
      <c r="N150" s="187" t="e">
        <f t="shared" ref="N150:N151" si="91">(100-(100*C150)/I150)/100</f>
        <v>#N/A</v>
      </c>
    </row>
    <row r="151" spans="2:16" ht="21" customHeight="1" outlineLevel="1">
      <c r="B151" s="89" t="s">
        <v>209</v>
      </c>
      <c r="C151" s="189" t="e">
        <f>COS(RADIANS(I132/2))*I145+I144+G84+G87+G82+G88</f>
        <v>#N/A</v>
      </c>
      <c r="D151" s="190"/>
      <c r="E151" s="191" t="e">
        <f t="shared" si="88"/>
        <v>#N/A</v>
      </c>
      <c r="F151" s="192"/>
      <c r="G151" s="447" t="s">
        <v>162</v>
      </c>
      <c r="H151" s="446"/>
      <c r="I151" s="194" t="e">
        <f t="shared" si="89"/>
        <v>#N/A</v>
      </c>
      <c r="J151" s="5"/>
      <c r="K151" s="4" t="e">
        <f t="shared" si="90"/>
        <v>#N/A</v>
      </c>
      <c r="L151" s="90"/>
      <c r="M151" s="4"/>
      <c r="N151" s="187" t="e">
        <f t="shared" si="91"/>
        <v>#N/A</v>
      </c>
    </row>
    <row r="152" spans="2:16" ht="21" customHeight="1">
      <c r="B152" s="195" t="s">
        <v>210</v>
      </c>
      <c r="C152" s="196">
        <f t="shared" ref="C152:C153" si="92">C150</f>
        <v>0</v>
      </c>
      <c r="D152" s="204"/>
      <c r="E152" s="242"/>
      <c r="F152" s="202"/>
      <c r="G152" s="202" t="s">
        <v>177</v>
      </c>
      <c r="H152" s="202"/>
      <c r="I152" s="200" t="e">
        <f>VLOOKUP(G78,SŁUPY!A3:G111,3,0)</f>
        <v>#N/A</v>
      </c>
      <c r="J152" s="201"/>
      <c r="K152" s="202" t="e">
        <f t="shared" si="90"/>
        <v>#N/A</v>
      </c>
      <c r="L152" s="243"/>
      <c r="M152" s="4"/>
      <c r="N152" s="187"/>
    </row>
    <row r="153" spans="2:16" ht="21" customHeight="1">
      <c r="B153" s="244" t="s">
        <v>211</v>
      </c>
      <c r="C153" s="196" t="e">
        <f t="shared" si="92"/>
        <v>#N/A</v>
      </c>
      <c r="D153" s="204"/>
      <c r="E153" s="242"/>
      <c r="F153" s="202"/>
      <c r="G153" s="202" t="s">
        <v>179</v>
      </c>
      <c r="H153" s="202"/>
      <c r="I153" s="200" t="e">
        <f>VLOOKUP(G78,SŁUPY!A3:G111,3,0)</f>
        <v>#N/A</v>
      </c>
      <c r="J153" s="201"/>
      <c r="K153" s="202" t="e">
        <f t="shared" si="90"/>
        <v>#N/A</v>
      </c>
      <c r="L153" s="243"/>
      <c r="M153" s="4" t="s">
        <v>212</v>
      </c>
      <c r="N153" s="187" t="e">
        <f>IF(N150&lt;N151,N150,N151)</f>
        <v>#N/A</v>
      </c>
    </row>
    <row r="154" spans="2:16" ht="21" customHeight="1" outlineLevel="1">
      <c r="B154" s="455" t="s">
        <v>213</v>
      </c>
      <c r="C154" s="456"/>
      <c r="D154" s="456"/>
      <c r="E154" s="456"/>
      <c r="F154" s="456"/>
      <c r="G154" s="456"/>
      <c r="H154" s="245"/>
      <c r="I154" s="246">
        <f>ROUNDUP(ROUND(SUM(R24:R34),3)*0.2,2)</f>
        <v>0</v>
      </c>
      <c r="J154" s="228"/>
      <c r="K154" s="178"/>
      <c r="L154" s="88"/>
      <c r="M154" s="4"/>
    </row>
    <row r="155" spans="2:16" ht="21" customHeight="1" outlineLevel="1">
      <c r="B155" s="449" t="s">
        <v>214</v>
      </c>
      <c r="C155" s="446"/>
      <c r="D155" s="446"/>
      <c r="E155" s="446"/>
      <c r="F155" s="446"/>
      <c r="G155" s="446"/>
      <c r="H155" s="225"/>
      <c r="I155" s="237">
        <f>ROUND((L44*H44+L45*H45+L47*H47+H46*L46+L48*H48+L49*H49+L50*H50+L51*H51+L52*H52+L53*H53+L54*H54+L55*H55+L56*H56+L57*H57+L58*H58+L59*H59)/2,2)</f>
        <v>0</v>
      </c>
      <c r="J155" s="5"/>
      <c r="K155" s="4"/>
      <c r="L155" s="90"/>
      <c r="M155" s="4"/>
    </row>
    <row r="156" spans="2:16" ht="21" customHeight="1" outlineLevel="1">
      <c r="B156" s="452" t="s">
        <v>215</v>
      </c>
      <c r="C156" s="453"/>
      <c r="D156" s="453"/>
      <c r="E156" s="453"/>
      <c r="F156" s="453"/>
      <c r="G156" s="453"/>
      <c r="H156" s="453"/>
      <c r="I156" s="453"/>
      <c r="J156" s="453"/>
      <c r="K156" s="453"/>
      <c r="L156" s="454"/>
      <c r="M156" s="4"/>
    </row>
    <row r="157" spans="2:16" ht="21" customHeight="1" outlineLevel="1">
      <c r="B157" s="450" t="s">
        <v>216</v>
      </c>
      <c r="C157" s="446"/>
      <c r="D157" s="446"/>
      <c r="E157" s="446"/>
      <c r="F157" s="185"/>
      <c r="G157" s="461" t="e">
        <f>CONCATENATE(I155," + ",G87," + ",G88," + ",I154, " + ",G85," = ")</f>
        <v>#N/A</v>
      </c>
      <c r="H157" s="446"/>
      <c r="I157" s="210" t="e">
        <f>C159</f>
        <v>#N/A</v>
      </c>
      <c r="J157" s="5"/>
      <c r="K157" s="247" t="e">
        <f>ROUNDUP(2*G85/3,2)</f>
        <v>#N/A</v>
      </c>
      <c r="L157" s="90"/>
      <c r="M157" s="4"/>
      <c r="P157" s="248"/>
    </row>
    <row r="158" spans="2:16" ht="21" customHeight="1" outlineLevel="1">
      <c r="B158" s="450" t="s">
        <v>217</v>
      </c>
      <c r="C158" s="446"/>
      <c r="D158" s="446"/>
      <c r="E158" s="446"/>
      <c r="F158" s="185"/>
      <c r="G158" s="461" t="e">
        <f>CONCATENATE(G84," + ",G87, " + ",G88," = ")</f>
        <v>#N/A</v>
      </c>
      <c r="H158" s="446"/>
      <c r="I158" s="210" t="e">
        <f t="shared" ref="I158" si="93">C160</f>
        <v>#N/A</v>
      </c>
      <c r="J158" s="5"/>
      <c r="K158" s="4"/>
      <c r="L158" s="90"/>
      <c r="M158" s="4"/>
      <c r="P158" s="248"/>
    </row>
    <row r="159" spans="2:16" ht="21" customHeight="1" outlineLevel="1">
      <c r="B159" s="89" t="s">
        <v>218</v>
      </c>
      <c r="C159" s="189" t="e">
        <f>I155+G87+I154+G85+G88</f>
        <v>#N/A</v>
      </c>
      <c r="D159" s="190"/>
      <c r="E159" s="191" t="e">
        <f t="shared" ref="E159:E160" si="94">IF(I159&gt;C159,"&lt;","≥")</f>
        <v>#N/A</v>
      </c>
      <c r="F159" s="192"/>
      <c r="G159" s="447" t="s">
        <v>160</v>
      </c>
      <c r="H159" s="446"/>
      <c r="I159" s="194" t="e">
        <f t="shared" ref="I159:I160" si="95">I150</f>
        <v>#N/A</v>
      </c>
      <c r="J159" s="5"/>
      <c r="K159" s="4" t="e">
        <f t="shared" ref="K159:K161" si="96">IF(I159&gt;C159,"Warunek spełniony","błąd")</f>
        <v>#N/A</v>
      </c>
      <c r="L159" s="90"/>
      <c r="M159" s="4"/>
      <c r="N159" s="187" t="e">
        <f t="shared" ref="N159:N160" si="97">(100-(100*C159)/I159)/100</f>
        <v>#N/A</v>
      </c>
    </row>
    <row r="160" spans="2:16" ht="21" customHeight="1" outlineLevel="1">
      <c r="B160" s="89" t="s">
        <v>219</v>
      </c>
      <c r="C160" s="189" t="e">
        <f>G84+G87+G88</f>
        <v>#N/A</v>
      </c>
      <c r="D160" s="190"/>
      <c r="E160" s="191" t="e">
        <f t="shared" si="94"/>
        <v>#N/A</v>
      </c>
      <c r="F160" s="192"/>
      <c r="G160" s="447" t="s">
        <v>162</v>
      </c>
      <c r="H160" s="446"/>
      <c r="I160" s="194" t="e">
        <f t="shared" si="95"/>
        <v>#N/A</v>
      </c>
      <c r="J160" s="5"/>
      <c r="K160" s="4" t="e">
        <f t="shared" si="96"/>
        <v>#N/A</v>
      </c>
      <c r="L160" s="90"/>
      <c r="M160" s="4"/>
      <c r="N160" s="187" t="e">
        <f t="shared" si="97"/>
        <v>#N/A</v>
      </c>
    </row>
    <row r="161" spans="2:21" ht="21" customHeight="1">
      <c r="B161" s="226" t="s">
        <v>150</v>
      </c>
      <c r="C161" s="196" t="e">
        <f>ROUNDUP(IF(C159&gt;C160,C159,C160),2)</f>
        <v>#N/A</v>
      </c>
      <c r="D161" s="204"/>
      <c r="E161" s="242"/>
      <c r="F161" s="202"/>
      <c r="G161" s="202" t="s">
        <v>151</v>
      </c>
      <c r="H161" s="202"/>
      <c r="I161" s="200" t="e">
        <f>VLOOKUP(G78,SŁUPY!A3:G111,3,0)</f>
        <v>#N/A</v>
      </c>
      <c r="J161" s="201"/>
      <c r="K161" s="202" t="e">
        <f t="shared" si="96"/>
        <v>#N/A</v>
      </c>
      <c r="L161" s="243"/>
      <c r="M161" s="4" t="s">
        <v>125</v>
      </c>
      <c r="N161" s="187" t="e">
        <f>IF(N159&lt;N160,N159,N160)</f>
        <v>#N/A</v>
      </c>
    </row>
    <row r="162" spans="2:21" ht="21" customHeight="1">
      <c r="B162" s="226" t="s">
        <v>152</v>
      </c>
      <c r="C162" s="204"/>
      <c r="D162" s="204"/>
      <c r="E162" s="242"/>
      <c r="F162" s="202"/>
      <c r="G162" s="202" t="s">
        <v>153</v>
      </c>
      <c r="H162" s="202"/>
      <c r="I162" s="249"/>
      <c r="J162" s="201"/>
      <c r="K162" s="202"/>
      <c r="L162" s="243"/>
      <c r="M162" s="4"/>
      <c r="N162" s="187"/>
    </row>
    <row r="163" spans="2:21" ht="21" customHeight="1" outlineLevel="1">
      <c r="B163" s="466" t="s">
        <v>220</v>
      </c>
      <c r="C163" s="456"/>
      <c r="D163" s="456"/>
      <c r="E163" s="456"/>
      <c r="F163" s="174"/>
      <c r="G163" s="174"/>
      <c r="H163" s="175"/>
      <c r="I163" s="176">
        <f>SUM(K44:K51)</f>
        <v>0</v>
      </c>
      <c r="J163" s="177"/>
      <c r="K163" s="178"/>
      <c r="L163" s="88"/>
      <c r="M163" s="5"/>
    </row>
    <row r="164" spans="2:21" ht="21" customHeight="1" outlineLevel="1">
      <c r="B164" s="457" t="s">
        <v>221</v>
      </c>
      <c r="C164" s="446"/>
      <c r="D164" s="446"/>
      <c r="E164" s="446"/>
      <c r="F164" s="70"/>
      <c r="G164" s="70"/>
      <c r="H164" s="179"/>
      <c r="I164" s="180">
        <f>E40</f>
        <v>0</v>
      </c>
      <c r="J164" s="181"/>
      <c r="K164" s="4"/>
      <c r="L164" s="90"/>
      <c r="M164" s="5"/>
    </row>
    <row r="165" spans="2:21" ht="21" customHeight="1" outlineLevel="1">
      <c r="B165" s="457" t="s">
        <v>222</v>
      </c>
      <c r="C165" s="446"/>
      <c r="D165" s="446"/>
      <c r="E165" s="446"/>
      <c r="F165" s="70"/>
      <c r="G165" s="70"/>
      <c r="H165" s="179"/>
      <c r="I165" s="210">
        <f>SUM(K60:K64)</f>
        <v>0</v>
      </c>
      <c r="J165" s="181"/>
      <c r="K165" s="4"/>
      <c r="L165" s="90"/>
      <c r="M165" s="5"/>
    </row>
    <row r="166" spans="2:21" ht="21" customHeight="1" outlineLevel="1">
      <c r="B166" s="457" t="s">
        <v>223</v>
      </c>
      <c r="C166" s="446"/>
      <c r="D166" s="446"/>
      <c r="E166" s="446"/>
      <c r="F166" s="70"/>
      <c r="G166" s="70"/>
      <c r="H166" s="179"/>
      <c r="I166" s="180">
        <f>E39</f>
        <v>0</v>
      </c>
      <c r="J166" s="181"/>
      <c r="K166" s="4"/>
      <c r="L166" s="90"/>
      <c r="M166" s="5"/>
    </row>
    <row r="167" spans="2:21" ht="21" customHeight="1" outlineLevel="1">
      <c r="B167" s="452" t="s">
        <v>224</v>
      </c>
      <c r="C167" s="468"/>
      <c r="D167" s="468"/>
      <c r="E167" s="468"/>
      <c r="F167" s="468"/>
      <c r="G167" s="468"/>
      <c r="H167" s="468"/>
      <c r="I167" s="468"/>
      <c r="J167" s="468"/>
      <c r="K167" s="468"/>
      <c r="L167" s="469"/>
      <c r="M167" s="4"/>
      <c r="P167" s="184"/>
    </row>
    <row r="168" spans="2:21" ht="21" customHeight="1" outlineLevel="1">
      <c r="B168" s="467" t="s">
        <v>225</v>
      </c>
      <c r="C168" s="446"/>
      <c r="D168" s="446"/>
      <c r="E168" s="446"/>
      <c r="F168" s="185"/>
      <c r="G168" s="445" t="str">
        <f>IF(OR(AND(88&lt;E40,E40&lt;92),(AND(-92&lt;E40,E40&lt;-88))),
CONCATENATE(" = ",SUM(K44:K51)," + ",G81," + ",ROUND(ABS(SIN(RADIANS(I166)))*SUM(K60:K64),2)," = "),
CONCATENATE(" = "," | ",
ROUND((SIN(RADIANS(E40 )))*SUM(K44:K51  ),2)," + ",
ROUND((SIN(RADIANS(I166)))*SUM(K60:K64),2)," | "," + ",G81," == "))</f>
        <v xml:space="preserve"> =  | 0 + 0 |  + 0 == </v>
      </c>
      <c r="H168" s="446"/>
      <c r="I168" s="186">
        <f t="shared" ref="I168:I169" si="98">C170</f>
        <v>0</v>
      </c>
      <c r="J168" s="181"/>
      <c r="K168" s="4"/>
      <c r="L168" s="90"/>
      <c r="M168" s="4"/>
    </row>
    <row r="169" spans="2:21" ht="21" customHeight="1" outlineLevel="1">
      <c r="B169" s="467" t="s">
        <v>226</v>
      </c>
      <c r="C169" s="446"/>
      <c r="D169" s="446"/>
      <c r="E169" s="446"/>
      <c r="F169" s="185"/>
      <c r="G169" s="445" t="e">
        <f>IF(OR(AND(88&lt;E40,E40&lt;92),(AND(-92&lt;E40,E40&lt;-88))),
CONCATENATE(" = ",G82," + ",G84," + ",G87," + ",G88," + ",G86," + ",ROUND(ABS(COS(RADIANS(I166)))*SUM(K60:K64),2)," = "),
CONCATENATE(" = "," | ",(ROUND(COS(RADIANS(E40))*SUM(K44:K51),2))," + ",ROUND((COS(RADIANS(I166)))*SUM(K60:K64),2)," | "," + ",G82," + ",G84," + ",G87," + ",G88," + ",G86," + "," == "))</f>
        <v>#N/A</v>
      </c>
      <c r="H169" s="446"/>
      <c r="I169" s="186" t="e">
        <f t="shared" si="98"/>
        <v>#N/A</v>
      </c>
      <c r="J169" s="181"/>
      <c r="K169" s="4"/>
      <c r="L169" s="90"/>
      <c r="M169" s="4"/>
      <c r="N169" s="187"/>
      <c r="P169" t="s">
        <v>145</v>
      </c>
    </row>
    <row r="170" spans="2:21" ht="21" customHeight="1" outlineLevel="1">
      <c r="B170" s="188" t="s">
        <v>227</v>
      </c>
      <c r="C170" s="189">
        <f>IF(OR(AND(88&lt;E40,E40&lt;92),(AND(-92&lt;E40,E40&lt;-88))),
ABS(ROUND(
SUM(K44:K51)+
SIN(RADIANS(I166))*SUM(K60:K64),2)+G81),
ABS(ROUND(
SIN(RADIANS(E40))*SUM(K44:K51)+
SIN(RADIANS(I166))*SUM(K60:K64),2)+G81)
)</f>
        <v>0</v>
      </c>
      <c r="D170" s="190"/>
      <c r="E170" s="191" t="e">
        <f t="shared" ref="E170:E171" si="99">IF(I170&gt;C170,"&lt;","≥")</f>
        <v>#N/A</v>
      </c>
      <c r="F170" s="192"/>
      <c r="G170" s="447" t="s">
        <v>147</v>
      </c>
      <c r="H170" s="446"/>
      <c r="I170" s="194" t="e">
        <f>VLOOKUP(G78,SŁUPY!A3:G111,2,0)</f>
        <v>#N/A</v>
      </c>
      <c r="J170" s="5"/>
      <c r="K170" s="4" t="e">
        <f t="shared" ref="K170:K172" si="100">IF(I170&gt;C170,"Warunek spełniony","błąd")</f>
        <v>#N/A</v>
      </c>
      <c r="L170" s="90"/>
      <c r="M170" s="4"/>
      <c r="N170" s="187" t="e">
        <f t="shared" ref="N170:N171" si="101">(100-(100*C170)/I170)/100</f>
        <v>#N/A</v>
      </c>
    </row>
    <row r="171" spans="2:21" ht="21" customHeight="1" outlineLevel="1">
      <c r="B171" s="188" t="s">
        <v>228</v>
      </c>
      <c r="C171" s="189" t="e">
        <f>IF(
OR(AND(88&lt;E40,E40&lt;92),(AND(-92&lt;E40,E40&lt;-88))),
(G82+G84+G87+G88+G86+
ABS(ROUND((COS(RADIANS(I166)))*SUM(K60:K64),2))),
(
ABS(
ROUND(
COS(RADIANS(E40))*SUM(K44:K51)+
COS(RADIANS(I166))*SUM(K60:K64),
2))
+G82+G84+G87+G88+G86
)
)</f>
        <v>#N/A</v>
      </c>
      <c r="D171" s="190"/>
      <c r="E171" s="191" t="e">
        <f t="shared" si="99"/>
        <v>#N/A</v>
      </c>
      <c r="F171" s="192"/>
      <c r="G171" s="447" t="s">
        <v>149</v>
      </c>
      <c r="H171" s="446"/>
      <c r="I171" s="194" t="e">
        <f>VLOOKUP(G78,SŁUPY!A3:G111,3,0)</f>
        <v>#N/A</v>
      </c>
      <c r="J171" s="5"/>
      <c r="K171" s="4" t="e">
        <f t="shared" si="100"/>
        <v>#N/A</v>
      </c>
      <c r="L171" s="90"/>
      <c r="M171" s="4"/>
      <c r="N171" s="187" t="e">
        <f t="shared" si="101"/>
        <v>#N/A</v>
      </c>
    </row>
    <row r="172" spans="2:21" ht="21" customHeight="1">
      <c r="B172" s="195" t="s">
        <v>150</v>
      </c>
      <c r="C172" s="196" t="e">
        <f>SQRT(C170^2+C171^2)</f>
        <v>#N/A</v>
      </c>
      <c r="D172" s="197"/>
      <c r="E172" s="198"/>
      <c r="F172" s="199"/>
      <c r="G172" s="202" t="s">
        <v>151</v>
      </c>
      <c r="H172" s="199"/>
      <c r="I172" s="227" t="e">
        <f>VLOOKUP(G78,SŁUPY!A3:G111,3,0)</f>
        <v>#N/A</v>
      </c>
      <c r="J172" s="201" t="s">
        <v>62</v>
      </c>
      <c r="K172" s="202" t="e">
        <f t="shared" si="100"/>
        <v>#N/A</v>
      </c>
      <c r="L172" s="203"/>
      <c r="M172" s="4" t="s">
        <v>229</v>
      </c>
      <c r="N172" s="187" t="e">
        <f>IF(N170&lt;N171,N170,N171)</f>
        <v>#N/A</v>
      </c>
    </row>
    <row r="173" spans="2:21" ht="21" customHeight="1">
      <c r="B173" s="195" t="s">
        <v>152</v>
      </c>
      <c r="C173" s="204"/>
      <c r="D173" s="197"/>
      <c r="E173" s="198"/>
      <c r="F173" s="199"/>
      <c r="G173" s="202" t="s">
        <v>153</v>
      </c>
      <c r="H173" s="199"/>
      <c r="I173" s="205"/>
      <c r="J173" s="206"/>
      <c r="K173" s="199"/>
      <c r="L173" s="203"/>
      <c r="M173" s="4"/>
      <c r="N173" s="187"/>
      <c r="U173" s="184"/>
    </row>
    <row r="174" spans="2:21" ht="21" customHeight="1">
      <c r="B174" s="2"/>
      <c r="C174" s="2"/>
      <c r="D174" s="2"/>
      <c r="E174" s="2"/>
      <c r="F174" s="4"/>
      <c r="G174" s="4"/>
      <c r="H174" s="4"/>
      <c r="I174" s="4"/>
      <c r="J174" s="4"/>
      <c r="K174" s="4"/>
      <c r="L174" s="4"/>
      <c r="M174" s="5"/>
      <c r="N174" s="187"/>
    </row>
    <row r="175" spans="2:21" ht="21" customHeight="1">
      <c r="B175" s="2"/>
      <c r="C175" s="2"/>
      <c r="D175" s="2"/>
      <c r="E175" s="2"/>
      <c r="F175" s="4"/>
      <c r="G175" s="4"/>
      <c r="H175" s="4"/>
      <c r="I175" s="4"/>
      <c r="J175" s="4"/>
      <c r="K175" s="4"/>
      <c r="L175" s="4"/>
      <c r="M175" s="5"/>
      <c r="N175" s="187"/>
    </row>
    <row r="176" spans="2:21" ht="21" customHeight="1">
      <c r="B176" s="2"/>
      <c r="C176" s="2"/>
      <c r="D176" s="2"/>
      <c r="E176" s="2"/>
      <c r="F176" s="4"/>
      <c r="G176" s="4"/>
      <c r="H176" s="4"/>
      <c r="I176" s="4"/>
      <c r="J176" s="4"/>
      <c r="K176" s="4"/>
      <c r="L176" s="4"/>
      <c r="M176" s="5"/>
      <c r="N176" s="187"/>
    </row>
    <row r="177" spans="2:14" ht="21" customHeight="1">
      <c r="B177" s="2"/>
      <c r="C177" s="2"/>
      <c r="D177" s="2"/>
      <c r="E177" s="2"/>
      <c r="F177" s="4"/>
      <c r="G177" s="4"/>
      <c r="H177" s="4"/>
      <c r="I177" s="4"/>
      <c r="J177" s="4"/>
      <c r="K177" s="4"/>
      <c r="L177" s="4"/>
      <c r="M177" s="5"/>
      <c r="N177" s="187"/>
    </row>
    <row r="178" spans="2:14" ht="21" customHeight="1">
      <c r="B178" s="2"/>
      <c r="C178" s="2"/>
      <c r="D178" s="2"/>
      <c r="E178" s="2"/>
      <c r="F178" s="4"/>
      <c r="G178" s="4"/>
      <c r="H178" s="4"/>
      <c r="I178" s="4"/>
      <c r="J178" s="4"/>
      <c r="K178" s="4"/>
      <c r="L178" s="4"/>
      <c r="M178" s="5"/>
      <c r="N178" s="187"/>
    </row>
    <row r="179" spans="2:14" ht="21" customHeight="1">
      <c r="B179" s="2"/>
      <c r="C179" s="2"/>
      <c r="D179" s="2"/>
      <c r="E179" s="2"/>
      <c r="F179" s="4"/>
      <c r="G179" s="4"/>
      <c r="H179" s="4"/>
      <c r="I179" s="4"/>
      <c r="J179" s="4"/>
      <c r="K179" s="4"/>
      <c r="L179" s="4"/>
      <c r="M179" s="5"/>
      <c r="N179" s="187"/>
    </row>
    <row r="180" spans="2:14" ht="21" customHeight="1">
      <c r="B180" s="451"/>
      <c r="C180" s="446"/>
      <c r="D180" s="446"/>
      <c r="E180" s="446"/>
      <c r="F180" s="446"/>
      <c r="G180" s="446"/>
      <c r="H180" s="446"/>
      <c r="I180" s="193"/>
      <c r="J180" s="193"/>
      <c r="K180" s="4"/>
      <c r="L180" s="4"/>
      <c r="M180" s="5"/>
    </row>
    <row r="181" spans="2:14" ht="21" customHeight="1">
      <c r="B181" s="451"/>
      <c r="C181" s="446"/>
      <c r="D181" s="446"/>
      <c r="E181" s="446"/>
      <c r="F181" s="446"/>
      <c r="G181" s="446"/>
      <c r="H181" s="446"/>
      <c r="I181" s="193"/>
      <c r="J181" s="193"/>
      <c r="K181" s="4"/>
      <c r="L181" s="4"/>
      <c r="M181" s="5"/>
    </row>
    <row r="182" spans="2:14" ht="21" customHeight="1">
      <c r="B182" s="2"/>
      <c r="C182" s="2"/>
      <c r="D182" s="2"/>
      <c r="E182" s="2"/>
      <c r="F182" s="4"/>
      <c r="G182" s="4"/>
      <c r="H182" s="5"/>
      <c r="I182" s="5"/>
      <c r="J182" s="5"/>
      <c r="K182" s="4"/>
      <c r="L182" s="4"/>
      <c r="M182" s="5"/>
    </row>
    <row r="183" spans="2:14" ht="21" customHeight="1">
      <c r="B183" s="2"/>
      <c r="C183" s="2"/>
      <c r="D183" s="2"/>
      <c r="E183" s="2"/>
      <c r="F183" s="4"/>
      <c r="G183" s="70" t="s">
        <v>230</v>
      </c>
      <c r="H183" s="250"/>
      <c r="I183" s="250" t="s">
        <v>231</v>
      </c>
      <c r="J183" s="5"/>
      <c r="K183" s="4"/>
      <c r="L183" s="4"/>
      <c r="M183" s="5"/>
    </row>
    <row r="184" spans="2:14" ht="21" customHeight="1">
      <c r="B184" s="2"/>
      <c r="C184" s="2"/>
      <c r="D184" s="2"/>
      <c r="E184" s="2"/>
      <c r="F184" s="4"/>
      <c r="G184" s="70" t="s">
        <v>232</v>
      </c>
      <c r="H184" s="250"/>
      <c r="I184" s="250" t="s">
        <v>233</v>
      </c>
      <c r="J184" s="5"/>
      <c r="K184" s="4"/>
      <c r="L184" s="4"/>
      <c r="M184" s="5"/>
    </row>
    <row r="185" spans="2:14" ht="21" customHeight="1">
      <c r="B185" s="2"/>
      <c r="C185" s="2"/>
      <c r="D185" s="2"/>
      <c r="E185" s="2"/>
      <c r="F185" s="4"/>
      <c r="G185" s="70" t="s">
        <v>234</v>
      </c>
      <c r="H185" s="250"/>
      <c r="I185" s="250" t="s">
        <v>235</v>
      </c>
      <c r="J185" s="5"/>
      <c r="K185" s="4"/>
      <c r="L185" s="4"/>
      <c r="M185" s="5"/>
    </row>
    <row r="186" spans="2:14" ht="21" customHeight="1">
      <c r="B186" s="2"/>
      <c r="C186" s="2"/>
      <c r="D186" s="2"/>
      <c r="E186" s="2"/>
      <c r="F186" s="4"/>
      <c r="G186" s="70" t="s">
        <v>236</v>
      </c>
      <c r="H186" s="250"/>
      <c r="I186" s="250"/>
      <c r="J186" s="5"/>
      <c r="K186" s="4"/>
      <c r="L186" s="4"/>
      <c r="M186" s="5"/>
    </row>
    <row r="187" spans="2:14" ht="21" customHeight="1">
      <c r="B187" s="2"/>
      <c r="C187" s="2"/>
      <c r="D187" s="2"/>
      <c r="E187" s="2"/>
      <c r="F187" s="4"/>
      <c r="G187" s="70" t="s">
        <v>237</v>
      </c>
      <c r="H187" s="250"/>
      <c r="I187" s="250" t="s">
        <v>238</v>
      </c>
      <c r="J187" s="5"/>
      <c r="K187" s="4"/>
      <c r="L187" s="4"/>
      <c r="M187" s="5"/>
    </row>
    <row r="188" spans="2:14" ht="21" customHeight="1">
      <c r="B188" s="2"/>
      <c r="C188" s="2"/>
      <c r="D188" s="2"/>
      <c r="E188" s="2"/>
      <c r="F188" s="4"/>
      <c r="G188" s="70" t="s">
        <v>239</v>
      </c>
      <c r="H188" s="250"/>
      <c r="I188" s="250" t="s">
        <v>240</v>
      </c>
      <c r="J188" s="5"/>
      <c r="K188" s="4"/>
      <c r="L188" s="4"/>
      <c r="M188" s="5"/>
    </row>
    <row r="189" spans="2:14" ht="21" customHeight="1">
      <c r="B189" s="2"/>
      <c r="C189" s="2"/>
      <c r="D189" s="2"/>
      <c r="E189" s="2"/>
      <c r="F189" s="4"/>
      <c r="G189" s="70" t="s">
        <v>241</v>
      </c>
      <c r="H189" s="250"/>
      <c r="I189" s="250" t="s">
        <v>242</v>
      </c>
      <c r="J189" s="5"/>
      <c r="K189" s="4"/>
      <c r="L189" s="4"/>
      <c r="M189" s="5"/>
    </row>
    <row r="190" spans="2:14" ht="21" customHeight="1">
      <c r="B190" s="2"/>
      <c r="C190" s="2"/>
      <c r="D190" s="2"/>
      <c r="E190" s="2"/>
      <c r="F190" s="4"/>
      <c r="G190" s="70" t="s">
        <v>243</v>
      </c>
      <c r="H190" s="250"/>
      <c r="I190" s="250" t="s">
        <v>244</v>
      </c>
      <c r="J190" s="5"/>
      <c r="K190" s="4"/>
      <c r="L190" s="4"/>
      <c r="M190" s="5"/>
    </row>
    <row r="191" spans="2:14" ht="21" customHeight="1">
      <c r="B191" s="2"/>
      <c r="C191" s="2"/>
      <c r="D191" s="2"/>
      <c r="E191" s="2"/>
      <c r="F191" s="4"/>
      <c r="G191" s="4"/>
      <c r="H191" s="5"/>
      <c r="I191" s="5"/>
      <c r="J191" s="5"/>
      <c r="K191" s="4"/>
      <c r="L191" s="4"/>
      <c r="M191" s="5"/>
    </row>
    <row r="192" spans="2:14" ht="21" customHeight="1">
      <c r="B192" s="2"/>
      <c r="C192" s="2"/>
      <c r="D192" s="2"/>
      <c r="E192" s="2"/>
      <c r="F192" s="4"/>
      <c r="G192" s="4"/>
      <c r="H192" s="5"/>
      <c r="I192" s="5"/>
      <c r="J192" s="5"/>
      <c r="K192" s="4"/>
      <c r="L192" s="4"/>
      <c r="M192" s="5"/>
    </row>
    <row r="193" spans="2:18" ht="21" customHeight="1">
      <c r="B193" s="2"/>
      <c r="C193" s="2"/>
      <c r="D193" s="2"/>
      <c r="E193" s="2"/>
      <c r="F193" s="4"/>
      <c r="G193" s="4"/>
      <c r="H193" s="5"/>
      <c r="I193" s="5"/>
      <c r="J193" s="5"/>
      <c r="K193" s="4"/>
      <c r="L193" s="4"/>
      <c r="M193" s="5"/>
    </row>
    <row r="194" spans="2:18" ht="21" customHeight="1">
      <c r="B194" s="2"/>
      <c r="C194" s="2"/>
      <c r="D194" s="2"/>
      <c r="E194" s="2"/>
      <c r="F194" s="4"/>
      <c r="G194" s="4"/>
      <c r="H194" s="5"/>
      <c r="I194" s="5"/>
      <c r="J194" s="5"/>
      <c r="K194" s="4"/>
      <c r="L194" s="4"/>
      <c r="M194" s="5"/>
    </row>
    <row r="195" spans="2:18" ht="21" customHeight="1">
      <c r="B195" s="2"/>
      <c r="C195" s="2"/>
      <c r="D195" s="2"/>
      <c r="E195" s="2"/>
      <c r="F195" s="4"/>
      <c r="G195" s="4"/>
      <c r="H195" s="5" t="e">
        <f>switch</f>
        <v>#NAME?</v>
      </c>
      <c r="I195" s="5"/>
      <c r="J195" s="5"/>
      <c r="K195" s="4"/>
      <c r="L195" s="4"/>
      <c r="M195" s="5"/>
    </row>
    <row r="196" spans="2:18" ht="21" customHeight="1">
      <c r="B196" s="2"/>
      <c r="C196" s="2"/>
      <c r="D196" s="2"/>
      <c r="E196" s="2"/>
      <c r="F196" s="4"/>
      <c r="G196" s="4"/>
      <c r="H196" s="5"/>
      <c r="I196" s="5"/>
      <c r="J196" s="5"/>
      <c r="K196" s="4"/>
      <c r="L196" s="4"/>
      <c r="M196" s="5"/>
    </row>
    <row r="197" spans="2:18" ht="21" customHeight="1">
      <c r="B197" s="2"/>
      <c r="C197" s="2"/>
      <c r="D197" s="2"/>
      <c r="E197" s="2"/>
      <c r="F197" s="4"/>
      <c r="G197" s="4"/>
      <c r="H197" s="5"/>
      <c r="I197" s="5"/>
      <c r="J197" s="5"/>
      <c r="K197" s="4"/>
      <c r="L197" s="4"/>
      <c r="M197" s="5"/>
    </row>
    <row r="198" spans="2:18" ht="21" customHeight="1">
      <c r="B198" s="2"/>
      <c r="C198" s="2"/>
      <c r="D198" s="2"/>
      <c r="E198" s="2"/>
      <c r="F198" s="4"/>
      <c r="G198" s="4"/>
      <c r="H198" s="5"/>
      <c r="I198" s="5"/>
      <c r="J198" s="5"/>
      <c r="K198" s="4"/>
      <c r="L198" s="4"/>
      <c r="M198" s="5"/>
    </row>
    <row r="199" spans="2:18" ht="21" customHeight="1">
      <c r="B199" s="2"/>
      <c r="C199" s="2"/>
      <c r="D199" s="2"/>
      <c r="E199" s="2"/>
      <c r="F199" s="4"/>
      <c r="G199" s="4"/>
      <c r="H199" s="5"/>
      <c r="I199" s="5"/>
      <c r="J199" s="5"/>
      <c r="K199" s="4"/>
      <c r="L199" s="4"/>
      <c r="M199" s="5"/>
    </row>
    <row r="200" spans="2:18" ht="21" customHeight="1">
      <c r="B200" s="2"/>
      <c r="C200" s="2"/>
      <c r="D200" s="2"/>
      <c r="E200" s="2"/>
      <c r="F200" s="4"/>
      <c r="G200" s="4"/>
      <c r="H200" s="5"/>
      <c r="I200" s="5"/>
      <c r="J200" s="5"/>
      <c r="K200" s="4"/>
      <c r="L200" s="4"/>
      <c r="M200" s="5"/>
    </row>
    <row r="201" spans="2:18" ht="21" customHeight="1">
      <c r="B201" s="2"/>
      <c r="C201" s="2"/>
      <c r="D201" s="2"/>
      <c r="E201" s="2"/>
      <c r="F201" s="4"/>
      <c r="G201" s="4"/>
      <c r="H201" s="5"/>
      <c r="I201" s="5"/>
      <c r="J201" s="5"/>
      <c r="K201" s="4"/>
      <c r="L201" s="4"/>
      <c r="M201" s="5"/>
    </row>
    <row r="202" spans="2:18" ht="21" customHeight="1">
      <c r="B202" s="2"/>
      <c r="C202" s="2"/>
      <c r="D202" s="2"/>
      <c r="E202" s="2"/>
      <c r="F202" s="4"/>
      <c r="G202" s="4"/>
      <c r="H202" s="5"/>
      <c r="I202" s="5"/>
      <c r="J202" s="5"/>
      <c r="K202" s="4"/>
      <c r="L202" s="4"/>
      <c r="M202" s="5"/>
    </row>
    <row r="203" spans="2:18" ht="21" customHeight="1">
      <c r="B203" s="251" t="s">
        <v>245</v>
      </c>
      <c r="C203" s="2"/>
      <c r="D203" s="2"/>
      <c r="E203" s="51"/>
      <c r="F203" s="58"/>
      <c r="G203" s="4"/>
      <c r="H203" s="5"/>
      <c r="I203" s="5"/>
      <c r="J203" s="5"/>
      <c r="K203" s="4"/>
      <c r="L203" s="4"/>
      <c r="M203" s="5"/>
      <c r="N203" s="79"/>
      <c r="P203" s="252" t="s">
        <v>246</v>
      </c>
      <c r="Q203" s="79"/>
      <c r="R203" s="79"/>
    </row>
    <row r="204" spans="2:18" ht="21" customHeight="1">
      <c r="B204" s="253" t="s">
        <v>247</v>
      </c>
      <c r="C204" s="253"/>
      <c r="D204" s="254" t="s">
        <v>248</v>
      </c>
      <c r="E204" s="254" t="s">
        <v>249</v>
      </c>
      <c r="F204" s="255"/>
      <c r="G204" s="4"/>
      <c r="H204" s="5"/>
      <c r="I204" s="5"/>
      <c r="J204" s="5"/>
      <c r="K204" s="4"/>
      <c r="L204" s="4"/>
      <c r="M204" s="5"/>
      <c r="N204" s="79"/>
      <c r="P204" s="253" t="s">
        <v>247</v>
      </c>
      <c r="Q204" s="253"/>
      <c r="R204" s="256" t="s">
        <v>250</v>
      </c>
    </row>
    <row r="205" spans="2:18" ht="21" customHeight="1">
      <c r="B205" s="257" t="s">
        <v>126</v>
      </c>
      <c r="C205" s="257"/>
      <c r="D205" s="258">
        <f>L78</f>
        <v>0</v>
      </c>
      <c r="E205" s="258">
        <f>L78</f>
        <v>0</v>
      </c>
      <c r="F205" s="259"/>
      <c r="G205" s="4"/>
      <c r="H205" s="5"/>
      <c r="I205" s="5"/>
      <c r="J205" s="5"/>
      <c r="K205" s="4"/>
      <c r="L205" s="4"/>
      <c r="M205" s="5"/>
      <c r="N205" s="79"/>
      <c r="P205" s="257" t="s">
        <v>126</v>
      </c>
      <c r="Q205" s="257"/>
      <c r="R205" s="258" t="s">
        <v>251</v>
      </c>
    </row>
    <row r="206" spans="2:18" ht="21" customHeight="1">
      <c r="B206" s="257" t="s">
        <v>252</v>
      </c>
      <c r="C206" s="257"/>
      <c r="D206" s="260">
        <f>C78</f>
        <v>0</v>
      </c>
      <c r="E206" s="260">
        <f>C78</f>
        <v>0</v>
      </c>
      <c r="F206" s="261"/>
      <c r="G206" s="262"/>
      <c r="H206" s="263"/>
      <c r="I206" s="263"/>
      <c r="J206" s="263"/>
      <c r="K206" s="262"/>
      <c r="L206" s="262"/>
      <c r="M206" s="263"/>
      <c r="N206" s="264"/>
      <c r="P206" s="265" t="s">
        <v>252</v>
      </c>
      <c r="Q206" s="265"/>
      <c r="R206" s="265">
        <v>102</v>
      </c>
    </row>
    <row r="207" spans="2:18" ht="21" customHeight="1">
      <c r="B207" s="257" t="s">
        <v>122</v>
      </c>
      <c r="C207" s="257"/>
      <c r="D207" s="257">
        <f>G78</f>
        <v>0</v>
      </c>
      <c r="E207" s="257">
        <f>G78</f>
        <v>0</v>
      </c>
      <c r="F207" s="266"/>
      <c r="G207" s="4"/>
      <c r="H207" s="5"/>
      <c r="I207" s="5"/>
      <c r="J207" s="5"/>
      <c r="K207" s="4"/>
      <c r="L207" s="4"/>
      <c r="M207" s="5"/>
      <c r="N207" s="79"/>
      <c r="P207" s="257" t="s">
        <v>122</v>
      </c>
      <c r="Q207" s="257"/>
      <c r="R207" s="257" t="s">
        <v>253</v>
      </c>
    </row>
    <row r="208" spans="2:18" ht="21" customHeight="1">
      <c r="B208" s="257" t="s">
        <v>254</v>
      </c>
      <c r="C208" s="257"/>
      <c r="D208" s="257">
        <f>J78</f>
        <v>0</v>
      </c>
      <c r="E208" s="257">
        <f>J78</f>
        <v>0</v>
      </c>
      <c r="F208" s="266"/>
      <c r="G208" s="4"/>
      <c r="H208" s="5"/>
      <c r="I208" s="5"/>
      <c r="J208" s="5"/>
      <c r="K208" s="4"/>
      <c r="L208" s="4"/>
      <c r="M208" s="5"/>
      <c r="N208" s="79"/>
      <c r="P208" s="257" t="s">
        <v>254</v>
      </c>
      <c r="Q208" s="257"/>
      <c r="R208" s="257" t="s">
        <v>125</v>
      </c>
    </row>
    <row r="209" spans="2:18" ht="21" customHeight="1">
      <c r="B209" s="257" t="s">
        <v>255</v>
      </c>
      <c r="C209" s="257" t="s">
        <v>256</v>
      </c>
      <c r="D209" s="257">
        <f>$H44</f>
        <v>0</v>
      </c>
      <c r="E209" s="257">
        <f>$H44</f>
        <v>0</v>
      </c>
      <c r="F209" s="266"/>
      <c r="G209" s="4"/>
      <c r="H209" s="5"/>
      <c r="I209" s="5"/>
      <c r="J209" s="5"/>
      <c r="K209" s="4"/>
      <c r="L209" s="4"/>
      <c r="M209" s="5"/>
      <c r="N209" s="79"/>
      <c r="P209" s="257" t="s">
        <v>255</v>
      </c>
      <c r="Q209" s="257" t="s">
        <v>256</v>
      </c>
      <c r="R209" s="257">
        <v>55</v>
      </c>
    </row>
    <row r="210" spans="2:18" ht="21" customHeight="1">
      <c r="B210" s="257" t="s">
        <v>257</v>
      </c>
      <c r="C210" s="257"/>
      <c r="D210" s="257" t="str">
        <f>CONCATENATE(E44,",  ",E45," ",E48,",  ",E49)</f>
        <v xml:space="preserve">,   ,  </v>
      </c>
      <c r="E210" s="257" t="str">
        <f>CONCATENATE(E44,",  ",E45," ",E48,",  ",E49)</f>
        <v xml:space="preserve">,   ,  </v>
      </c>
      <c r="F210" s="266"/>
      <c r="G210" s="4"/>
      <c r="H210" s="5"/>
      <c r="I210" s="5"/>
      <c r="J210" s="5"/>
      <c r="K210" s="4"/>
      <c r="L210" s="4"/>
      <c r="M210" s="5"/>
      <c r="N210" s="79"/>
      <c r="P210" s="257" t="s">
        <v>257</v>
      </c>
      <c r="Q210" s="257"/>
      <c r="R210" s="257" t="s">
        <v>258</v>
      </c>
    </row>
    <row r="211" spans="2:18" ht="21" customHeight="1">
      <c r="B211" s="257" t="s">
        <v>259</v>
      </c>
      <c r="C211" s="257"/>
      <c r="D211" s="257">
        <f>E51</f>
        <v>0</v>
      </c>
      <c r="E211" s="257">
        <f>E51</f>
        <v>0</v>
      </c>
      <c r="F211" s="266"/>
      <c r="G211" s="4"/>
      <c r="H211" s="5"/>
      <c r="I211" s="5"/>
      <c r="J211" s="5"/>
      <c r="K211" s="4"/>
      <c r="L211" s="4"/>
      <c r="M211" s="5"/>
      <c r="N211" s="79"/>
      <c r="P211" s="257" t="s">
        <v>259</v>
      </c>
      <c r="Q211" s="257"/>
      <c r="R211" s="257" t="s">
        <v>260</v>
      </c>
    </row>
    <row r="212" spans="2:18" ht="21" customHeight="1">
      <c r="B212" s="253" t="s">
        <v>261</v>
      </c>
      <c r="C212" s="257" t="s">
        <v>262</v>
      </c>
      <c r="D212" s="267" t="e">
        <f>I95</f>
        <v>#N/A</v>
      </c>
      <c r="E212" s="267" t="e">
        <f>I95</f>
        <v>#N/A</v>
      </c>
      <c r="F212" s="268"/>
      <c r="G212" s="4"/>
      <c r="H212" s="5"/>
      <c r="I212" s="5"/>
      <c r="J212" s="5"/>
      <c r="K212" s="4"/>
      <c r="L212" s="4"/>
      <c r="M212" s="5"/>
      <c r="N212" s="79"/>
      <c r="P212" s="253" t="s">
        <v>261</v>
      </c>
      <c r="Q212" s="257" t="s">
        <v>262</v>
      </c>
      <c r="R212" s="267">
        <v>350</v>
      </c>
    </row>
    <row r="213" spans="2:18" ht="21" customHeight="1">
      <c r="B213" s="253"/>
      <c r="C213" s="257" t="s">
        <v>263</v>
      </c>
      <c r="D213" s="269" t="e">
        <f>I160</f>
        <v>#N/A</v>
      </c>
      <c r="E213" s="269" t="e">
        <f>I160</f>
        <v>#N/A</v>
      </c>
      <c r="F213" s="266"/>
      <c r="G213" s="4"/>
      <c r="H213" s="5"/>
      <c r="I213" s="5"/>
      <c r="J213" s="5"/>
      <c r="K213" s="4"/>
      <c r="L213" s="4"/>
      <c r="M213" s="5"/>
      <c r="N213" s="79"/>
      <c r="P213" s="253"/>
      <c r="Q213" s="257" t="s">
        <v>263</v>
      </c>
      <c r="R213" s="257">
        <v>350</v>
      </c>
    </row>
    <row r="214" spans="2:18" ht="21" customHeight="1">
      <c r="B214" s="257" t="s">
        <v>264</v>
      </c>
      <c r="C214" s="257" t="s">
        <v>265</v>
      </c>
      <c r="D214" s="267" t="str">
        <f>I44</f>
        <v/>
      </c>
      <c r="E214" s="267" t="str">
        <f>I44</f>
        <v/>
      </c>
      <c r="F214" s="266"/>
      <c r="G214" s="4"/>
      <c r="H214" s="5"/>
      <c r="I214" s="5"/>
      <c r="J214" s="5"/>
      <c r="K214" s="4"/>
      <c r="L214" s="4"/>
      <c r="M214" s="5"/>
      <c r="N214" s="79"/>
      <c r="P214" s="257" t="s">
        <v>264</v>
      </c>
      <c r="Q214" s="257" t="s">
        <v>265</v>
      </c>
      <c r="R214" s="257">
        <v>1.65</v>
      </c>
    </row>
    <row r="215" spans="2:18" ht="21" customHeight="1">
      <c r="B215" s="257" t="s">
        <v>266</v>
      </c>
      <c r="C215" s="257" t="s">
        <v>267</v>
      </c>
      <c r="D215" s="270"/>
      <c r="E215" s="270"/>
      <c r="F215" s="271"/>
      <c r="G215" s="4"/>
      <c r="H215" s="5"/>
      <c r="I215" s="5"/>
      <c r="J215" s="5"/>
      <c r="K215" s="4"/>
      <c r="L215" s="4"/>
      <c r="M215" s="5"/>
      <c r="N215" s="79"/>
      <c r="P215" s="257" t="s">
        <v>266</v>
      </c>
      <c r="Q215" s="257" t="s">
        <v>267</v>
      </c>
      <c r="R215" s="270"/>
    </row>
    <row r="216" spans="2:18" ht="21" customHeight="1">
      <c r="B216" s="257" t="s">
        <v>268</v>
      </c>
      <c r="C216" s="257" t="s">
        <v>269</v>
      </c>
      <c r="D216" s="257" t="str">
        <f>J51</f>
        <v/>
      </c>
      <c r="E216" s="257" t="str">
        <f>J51</f>
        <v/>
      </c>
      <c r="F216" s="266"/>
      <c r="G216" s="4"/>
      <c r="H216" s="5"/>
      <c r="I216" s="5"/>
      <c r="J216" s="5"/>
      <c r="K216" s="4"/>
      <c r="L216" s="4"/>
      <c r="M216" s="5"/>
      <c r="N216" s="79"/>
      <c r="P216" s="257" t="s">
        <v>268</v>
      </c>
      <c r="Q216" s="257" t="s">
        <v>269</v>
      </c>
      <c r="R216" s="257">
        <v>27.6</v>
      </c>
    </row>
    <row r="217" spans="2:18" ht="21" customHeight="1">
      <c r="B217" s="272"/>
      <c r="C217" s="257" t="s">
        <v>262</v>
      </c>
      <c r="D217" s="270" t="str">
        <f>IF(J78="n",C104,IF(J78="k",C95,IF(J78="rpp",C115,IF(J78="rpk",C127,IF(J78="rnk",C140,IF(J78="o",C150,IF(J78="p",C159,"brak typu słupa")))))))</f>
        <v>brak typu słupa</v>
      </c>
      <c r="E217" s="270" t="str">
        <f>IF(J78="n",C104,IF(J78="k",C95,IF(J78="rpp",C115,IF(J78="rpk",C127,IF(J78="rnk",C140,IF(J78="o",C150,IF(J78="p",C159,"brak typu słupa")))))))</f>
        <v>brak typu słupa</v>
      </c>
      <c r="F217" s="271"/>
      <c r="G217" s="4"/>
      <c r="H217" s="5"/>
      <c r="I217" s="5"/>
      <c r="J217" s="5"/>
      <c r="K217" s="4"/>
      <c r="L217" s="4"/>
      <c r="M217" s="5"/>
      <c r="N217" s="79"/>
      <c r="P217" s="272"/>
      <c r="Q217" s="257" t="s">
        <v>262</v>
      </c>
      <c r="R217" s="270">
        <v>142.10380000000001</v>
      </c>
    </row>
    <row r="218" spans="2:18" ht="21" customHeight="1">
      <c r="B218" s="272"/>
      <c r="C218" s="257" t="s">
        <v>263</v>
      </c>
      <c r="D218" s="270" t="str">
        <f>IF(J78="n",C105,IF(J78="k",C96,IF(J78="rpp",C116,IF(J78="rpk",C128,IF(J78="rnk",C141,IF(J78="o",C151,IF(J78="p",C160,"brak typu słupa")))))))</f>
        <v>brak typu słupa</v>
      </c>
      <c r="E218" s="270" t="str">
        <f>IF(J78="n",C105,IF(J78="k",C96,IF(J78="rpp",C116,IF(J78="rpk",C128,IF(J78="rnk",C141,IF(J78="o",C151,IF(J78="p",C160,"brak typu słupa")))))))</f>
        <v>brak typu słupa</v>
      </c>
      <c r="F218" s="271"/>
      <c r="G218" s="4"/>
      <c r="H218" s="5"/>
      <c r="I218" s="5"/>
      <c r="J218" s="5"/>
      <c r="K218" s="4"/>
      <c r="L218" s="4"/>
      <c r="M218" s="5"/>
      <c r="N218" s="79"/>
      <c r="P218" s="272"/>
      <c r="Q218" s="257" t="s">
        <v>263</v>
      </c>
      <c r="R218" s="270">
        <v>50</v>
      </c>
    </row>
    <row r="219" spans="2:18" ht="21" customHeight="1">
      <c r="B219" s="257" t="s">
        <v>270</v>
      </c>
      <c r="C219" s="257" t="s">
        <v>271</v>
      </c>
      <c r="D219" s="270"/>
      <c r="E219" s="270"/>
      <c r="F219" s="271"/>
      <c r="G219" s="4"/>
      <c r="H219" s="5"/>
      <c r="I219" s="5"/>
      <c r="J219" s="5"/>
      <c r="K219" s="4"/>
      <c r="L219" s="4"/>
      <c r="M219" s="5"/>
      <c r="N219" s="79"/>
      <c r="P219" s="257" t="s">
        <v>270</v>
      </c>
      <c r="Q219" s="257" t="s">
        <v>271</v>
      </c>
      <c r="R219" s="270"/>
    </row>
    <row r="220" spans="2:18" ht="21" customHeight="1">
      <c r="B220" s="257" t="s">
        <v>272</v>
      </c>
      <c r="C220" s="257" t="s">
        <v>273</v>
      </c>
      <c r="D220" s="257" t="e">
        <f>K106</f>
        <v>#N/A</v>
      </c>
      <c r="E220" s="273" t="e">
        <f>#REF!</f>
        <v>#REF!</v>
      </c>
      <c r="F220" s="274"/>
      <c r="G220" s="4"/>
      <c r="H220" s="5"/>
      <c r="I220" s="5"/>
      <c r="J220" s="5"/>
      <c r="K220" s="4"/>
      <c r="L220" s="4"/>
      <c r="M220" s="5"/>
      <c r="N220" s="79"/>
      <c r="P220" s="257" t="s">
        <v>272</v>
      </c>
      <c r="Q220" s="257" t="s">
        <v>273</v>
      </c>
      <c r="R220" s="257">
        <v>0.59398914285714288</v>
      </c>
    </row>
    <row r="221" spans="2:18" ht="21" customHeight="1">
      <c r="B221" s="257" t="s">
        <v>274</v>
      </c>
      <c r="C221" s="257" t="s">
        <v>275</v>
      </c>
      <c r="D221" s="257" t="e">
        <f>IF(AND(K104="Warunek spełniony",K105="Warunek spełniony"),"TAK","NIE")</f>
        <v>#N/A</v>
      </c>
      <c r="E221" s="257" t="e">
        <f>IF(AND(K159="Warunek spełniony",K160="Warunek spełniony"),"TAK","NIE")</f>
        <v>#N/A</v>
      </c>
      <c r="F221" s="266"/>
      <c r="G221" s="4"/>
      <c r="H221" s="5"/>
      <c r="I221" s="5"/>
      <c r="J221" s="5"/>
      <c r="K221" s="4"/>
      <c r="L221" s="4"/>
      <c r="M221" s="5"/>
      <c r="N221" s="79"/>
      <c r="P221" s="257" t="s">
        <v>274</v>
      </c>
      <c r="Q221" s="257" t="s">
        <v>275</v>
      </c>
      <c r="R221" s="257" t="s">
        <v>276</v>
      </c>
    </row>
  </sheetData>
  <mergeCells count="100">
    <mergeCell ref="B112:L112"/>
    <mergeCell ref="B101:L101"/>
    <mergeCell ref="B169:E169"/>
    <mergeCell ref="B121:G121"/>
    <mergeCell ref="B122:G122"/>
    <mergeCell ref="B123:G123"/>
    <mergeCell ref="G141:H141"/>
    <mergeCell ref="G151:H151"/>
    <mergeCell ref="G127:H127"/>
    <mergeCell ref="G137:H137"/>
    <mergeCell ref="G126:H126"/>
    <mergeCell ref="G150:H150"/>
    <mergeCell ref="B138:H138"/>
    <mergeCell ref="B137:E137"/>
    <mergeCell ref="B146:L146"/>
    <mergeCell ref="B136:E136"/>
    <mergeCell ref="G140:H140"/>
    <mergeCell ref="K1:L1"/>
    <mergeCell ref="G139:H139"/>
    <mergeCell ref="G106:H106"/>
    <mergeCell ref="G97:H97"/>
    <mergeCell ref="B132:G132"/>
    <mergeCell ref="B131:G131"/>
    <mergeCell ref="G125:H125"/>
    <mergeCell ref="B124:L124"/>
    <mergeCell ref="B110:G110"/>
    <mergeCell ref="G115:H115"/>
    <mergeCell ref="G116:H116"/>
    <mergeCell ref="B119:G119"/>
    <mergeCell ref="B120:G120"/>
    <mergeCell ref="B76:L77"/>
    <mergeCell ref="B80:E80"/>
    <mergeCell ref="C42:E42"/>
    <mergeCell ref="C78:D78"/>
    <mergeCell ref="B79:E79"/>
    <mergeCell ref="B82:E82"/>
    <mergeCell ref="B81:E81"/>
    <mergeCell ref="B84:E84"/>
    <mergeCell ref="B87:E87"/>
    <mergeCell ref="B90:E90"/>
    <mergeCell ref="B83:E83"/>
    <mergeCell ref="B86:E86"/>
    <mergeCell ref="G168:H168"/>
    <mergeCell ref="G160:H160"/>
    <mergeCell ref="B166:E166"/>
    <mergeCell ref="G147:H147"/>
    <mergeCell ref="G148:H148"/>
    <mergeCell ref="B157:E157"/>
    <mergeCell ref="G157:H157"/>
    <mergeCell ref="G158:H158"/>
    <mergeCell ref="B163:E163"/>
    <mergeCell ref="B165:E165"/>
    <mergeCell ref="B164:E164"/>
    <mergeCell ref="B156:L156"/>
    <mergeCell ref="B168:E168"/>
    <mergeCell ref="B167:L167"/>
    <mergeCell ref="B91:E91"/>
    <mergeCell ref="B99:G99"/>
    <mergeCell ref="G96:H96"/>
    <mergeCell ref="G104:H104"/>
    <mergeCell ref="G105:H105"/>
    <mergeCell ref="G102:H102"/>
    <mergeCell ref="G103:H103"/>
    <mergeCell ref="C92:H92"/>
    <mergeCell ref="B94:E94"/>
    <mergeCell ref="G93:H93"/>
    <mergeCell ref="G94:H94"/>
    <mergeCell ref="B93:E93"/>
    <mergeCell ref="B180:H180"/>
    <mergeCell ref="B181:H181"/>
    <mergeCell ref="B135:L135"/>
    <mergeCell ref="G128:H128"/>
    <mergeCell ref="B133:G133"/>
    <mergeCell ref="G136:H136"/>
    <mergeCell ref="B145:G145"/>
    <mergeCell ref="B139:E139"/>
    <mergeCell ref="B144:G144"/>
    <mergeCell ref="B147:E147"/>
    <mergeCell ref="B148:E148"/>
    <mergeCell ref="B158:E158"/>
    <mergeCell ref="G159:H159"/>
    <mergeCell ref="B154:G154"/>
    <mergeCell ref="B155:G155"/>
    <mergeCell ref="B134:G134"/>
    <mergeCell ref="G169:H169"/>
    <mergeCell ref="G170:H170"/>
    <mergeCell ref="G171:H171"/>
    <mergeCell ref="B85:E85"/>
    <mergeCell ref="G95:H95"/>
    <mergeCell ref="B88:E88"/>
    <mergeCell ref="B100:G100"/>
    <mergeCell ref="B125:E125"/>
    <mergeCell ref="B126:E126"/>
    <mergeCell ref="B114:E114"/>
    <mergeCell ref="B102:E102"/>
    <mergeCell ref="B103:E103"/>
    <mergeCell ref="B113:E113"/>
    <mergeCell ref="B108:G108"/>
    <mergeCell ref="B109:G109"/>
    <mergeCell ref="B111:G111"/>
  </mergeCells>
  <conditionalFormatting sqref="D221:F221">
    <cfRule type="containsText" dxfId="17" priority="1" operator="containsText" text="nie">
      <formula>NOT(ISERROR(SEARCH(("nie"),(D221))))</formula>
    </cfRule>
  </conditionalFormatting>
  <conditionalFormatting sqref="R221">
    <cfRule type="containsText" dxfId="16" priority="5" operator="containsText" text="nie">
      <formula>NOT(ISERROR(SEARCH(("nie"),(R221))))</formula>
    </cfRule>
  </conditionalFormatting>
  <pageMargins left="0.39370078740157483" right="0.19685039370078741" top="0.19685039370078741" bottom="0.19685039370078741" header="0" footer="0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0E821-68D5-46F8-A336-A9805A5DD94D}">
  <dimension ref="A1:AM221"/>
  <sheetViews>
    <sheetView topLeftCell="A55" zoomScale="85" zoomScaleNormal="85" workbookViewId="0">
      <selection activeCell="G72" sqref="G72"/>
    </sheetView>
  </sheetViews>
  <sheetFormatPr defaultColWidth="14.42578125" defaultRowHeight="21" customHeight="1" outlineLevelRow="1"/>
  <cols>
    <col min="1" max="1" width="6.5703125" customWidth="1"/>
    <col min="2" max="2" width="30" customWidth="1"/>
    <col min="3" max="3" width="12.42578125" customWidth="1"/>
    <col min="4" max="4" width="14.5703125" customWidth="1"/>
    <col min="5" max="5" width="16.42578125" customWidth="1"/>
    <col min="6" max="6" width="12.42578125" customWidth="1"/>
    <col min="7" max="7" width="26.85546875" customWidth="1"/>
    <col min="8" max="8" width="22.85546875" customWidth="1"/>
    <col min="9" max="9" width="12.7109375" customWidth="1"/>
    <col min="10" max="10" width="9.42578125" customWidth="1"/>
    <col min="11" max="12" width="19.140625" customWidth="1"/>
    <col min="13" max="13" width="17.28515625" customWidth="1"/>
    <col min="14" max="14" width="15" customWidth="1"/>
    <col min="15" max="15" width="14.5703125" customWidth="1"/>
    <col min="16" max="16" width="17.28515625" customWidth="1"/>
    <col min="17" max="18" width="6.140625" customWidth="1"/>
    <col min="19" max="19" width="13.5703125" customWidth="1"/>
    <col min="20" max="20" width="16.42578125" customWidth="1"/>
    <col min="21" max="21" width="11.42578125" customWidth="1"/>
    <col min="22" max="22" width="12" customWidth="1"/>
    <col min="23" max="23" width="8.42578125" customWidth="1"/>
    <col min="24" max="39" width="8.7109375" customWidth="1"/>
  </cols>
  <sheetData>
    <row r="1" spans="1:39" ht="21" customHeight="1">
      <c r="B1" s="1" t="s">
        <v>0</v>
      </c>
      <c r="C1" s="2"/>
      <c r="D1" s="2"/>
      <c r="E1" s="1"/>
      <c r="F1" s="3"/>
      <c r="G1" s="4"/>
      <c r="H1" s="4"/>
      <c r="I1" s="4"/>
      <c r="J1" s="4"/>
      <c r="K1" s="475" t="s">
        <v>1</v>
      </c>
      <c r="L1" s="446"/>
      <c r="M1" s="5"/>
    </row>
    <row r="2" spans="1:39" ht="21" customHeight="1" thickBot="1">
      <c r="A2" s="5"/>
      <c r="B2" s="3" t="s">
        <v>2</v>
      </c>
      <c r="C2" s="4" t="s">
        <v>3</v>
      </c>
      <c r="D2" s="4" t="s">
        <v>4</v>
      </c>
      <c r="E2" s="3" t="s">
        <v>5</v>
      </c>
      <c r="F2" s="3"/>
      <c r="G2" s="3" t="s">
        <v>6</v>
      </c>
      <c r="H2" s="5"/>
      <c r="I2" s="5"/>
      <c r="J2" s="5" t="s">
        <v>7</v>
      </c>
      <c r="K2" s="3" t="s">
        <v>8</v>
      </c>
      <c r="L2" s="3" t="s">
        <v>9</v>
      </c>
      <c r="M2" s="5"/>
      <c r="N2" s="5"/>
      <c r="O2" s="5"/>
      <c r="P2" s="5"/>
      <c r="Q2" s="6" t="s">
        <v>10</v>
      </c>
      <c r="R2" s="6" t="s">
        <v>11</v>
      </c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 spans="1:39" ht="21" customHeight="1" thickTop="1" thickBot="1">
      <c r="A3" s="7" t="s">
        <v>12</v>
      </c>
      <c r="B3" s="8">
        <f t="shared" ref="B3:B4" si="0">IF(ISBLANK(E44),0,K44)</f>
        <v>0</v>
      </c>
      <c r="C3" s="9">
        <f t="shared" ref="C3:C4" si="1">F44</f>
        <v>0</v>
      </c>
      <c r="D3" s="9">
        <f t="shared" ref="D3:D18" si="2">IF(C3="odciągowe",B3,0)</f>
        <v>0</v>
      </c>
      <c r="E3" s="8">
        <f t="shared" ref="E3:E4" si="3">IF(ISBLANK(E44),0,G44)</f>
        <v>0</v>
      </c>
      <c r="F3" s="10"/>
      <c r="G3" s="3">
        <f t="shared" ref="G3:G41" si="4">RADIANS(E3)</f>
        <v>0</v>
      </c>
      <c r="H3" s="5">
        <v>1</v>
      </c>
      <c r="I3" s="5"/>
      <c r="J3" s="5">
        <f t="shared" ref="J3:J35" si="5">SIN(G3)</f>
        <v>0</v>
      </c>
      <c r="K3" s="11">
        <f t="shared" ref="K3:K35" si="6">ROUND(COS(G3)*B3,3)</f>
        <v>0</v>
      </c>
      <c r="L3" s="12">
        <f t="shared" ref="L3:L35" si="7">ROUND(SIN(G3)*B3,3)</f>
        <v>0</v>
      </c>
      <c r="M3" s="4">
        <f t="shared" ref="M3:M34" si="8">DEGREES(G3)</f>
        <v>0</v>
      </c>
      <c r="N3" s="2">
        <v>0</v>
      </c>
      <c r="O3" s="2">
        <v>0</v>
      </c>
      <c r="Q3" s="1">
        <f t="shared" ref="Q3:R18" si="9">ABS(K3)</f>
        <v>0</v>
      </c>
      <c r="R3" s="1">
        <f t="shared" si="9"/>
        <v>0</v>
      </c>
    </row>
    <row r="4" spans="1:39" ht="21" customHeight="1" thickTop="1" thickBot="1">
      <c r="A4" s="13" t="s">
        <v>13</v>
      </c>
      <c r="B4" s="8">
        <f t="shared" si="0"/>
        <v>0</v>
      </c>
      <c r="C4" s="9">
        <f t="shared" si="1"/>
        <v>0</v>
      </c>
      <c r="D4" s="9">
        <f t="shared" si="2"/>
        <v>0</v>
      </c>
      <c r="E4" s="8">
        <f t="shared" si="3"/>
        <v>0</v>
      </c>
      <c r="F4" s="10"/>
      <c r="G4" s="3">
        <f t="shared" si="4"/>
        <v>0</v>
      </c>
      <c r="H4" s="5">
        <v>1</v>
      </c>
      <c r="I4" s="5"/>
      <c r="J4" s="5">
        <f t="shared" si="5"/>
        <v>0</v>
      </c>
      <c r="K4" s="11">
        <f t="shared" si="6"/>
        <v>0</v>
      </c>
      <c r="L4" s="12">
        <f t="shared" si="7"/>
        <v>0</v>
      </c>
      <c r="M4" s="4">
        <f t="shared" si="8"/>
        <v>0</v>
      </c>
      <c r="N4" s="2">
        <v>0</v>
      </c>
      <c r="O4" s="2">
        <v>0</v>
      </c>
      <c r="Q4" s="1">
        <f t="shared" si="9"/>
        <v>0</v>
      </c>
      <c r="R4" s="1">
        <f t="shared" si="9"/>
        <v>0</v>
      </c>
    </row>
    <row r="5" spans="1:39" ht="21" customHeight="1" thickTop="1" thickBot="1">
      <c r="A5" s="13" t="s">
        <v>14</v>
      </c>
      <c r="B5" s="8">
        <f>IF(ISBLANK(E47),0,K47)</f>
        <v>0</v>
      </c>
      <c r="C5" s="9">
        <f>F47</f>
        <v>0</v>
      </c>
      <c r="D5" s="9">
        <f t="shared" si="2"/>
        <v>0</v>
      </c>
      <c r="E5" s="8">
        <f>IF(ISBLANK(E47),0,G47)</f>
        <v>0</v>
      </c>
      <c r="F5" s="10"/>
      <c r="G5" s="3">
        <f t="shared" si="4"/>
        <v>0</v>
      </c>
      <c r="H5" s="5">
        <v>1</v>
      </c>
      <c r="I5" s="5"/>
      <c r="J5" s="5">
        <f t="shared" si="5"/>
        <v>0</v>
      </c>
      <c r="K5" s="11">
        <f t="shared" si="6"/>
        <v>0</v>
      </c>
      <c r="L5" s="12">
        <f t="shared" si="7"/>
        <v>0</v>
      </c>
      <c r="M5" s="4">
        <f t="shared" si="8"/>
        <v>0</v>
      </c>
      <c r="N5" s="2">
        <v>0</v>
      </c>
      <c r="O5" s="2">
        <v>0</v>
      </c>
      <c r="Q5" s="1">
        <f t="shared" si="9"/>
        <v>0</v>
      </c>
      <c r="R5" s="1">
        <f t="shared" si="9"/>
        <v>0</v>
      </c>
    </row>
    <row r="6" spans="1:39" ht="21" customHeight="1" thickTop="1" thickBot="1">
      <c r="A6" s="13" t="s">
        <v>15</v>
      </c>
      <c r="B6" s="8">
        <f>IF(ISBLANK(E48),0,K48)</f>
        <v>0</v>
      </c>
      <c r="C6" s="9">
        <f>F48</f>
        <v>0</v>
      </c>
      <c r="D6" s="9">
        <f t="shared" si="2"/>
        <v>0</v>
      </c>
      <c r="E6" s="8">
        <f>IF(ISBLANK(E48),0,G48)</f>
        <v>0</v>
      </c>
      <c r="F6" s="10"/>
      <c r="G6" s="3">
        <f t="shared" si="4"/>
        <v>0</v>
      </c>
      <c r="H6" s="5">
        <v>1</v>
      </c>
      <c r="I6" s="5"/>
      <c r="J6" s="5">
        <f t="shared" si="5"/>
        <v>0</v>
      </c>
      <c r="K6" s="11">
        <f t="shared" si="6"/>
        <v>0</v>
      </c>
      <c r="L6" s="12">
        <f t="shared" si="7"/>
        <v>0</v>
      </c>
      <c r="M6" s="4">
        <f t="shared" si="8"/>
        <v>0</v>
      </c>
      <c r="N6" s="2">
        <v>0</v>
      </c>
      <c r="O6" s="2">
        <v>0</v>
      </c>
      <c r="Q6" s="1">
        <f t="shared" si="9"/>
        <v>0</v>
      </c>
      <c r="R6" s="1">
        <f t="shared" si="9"/>
        <v>0</v>
      </c>
    </row>
    <row r="7" spans="1:39" ht="21" customHeight="1" thickTop="1" thickBot="1">
      <c r="A7" s="13" t="s">
        <v>16</v>
      </c>
      <c r="B7" s="8">
        <f t="shared" ref="B7:B34" si="10">IF(ISBLANK(E48),0,K48)</f>
        <v>0</v>
      </c>
      <c r="C7" s="9">
        <f t="shared" ref="C7:C34" si="11">F48</f>
        <v>0</v>
      </c>
      <c r="D7" s="9">
        <f t="shared" si="2"/>
        <v>0</v>
      </c>
      <c r="E7" s="8">
        <f t="shared" ref="E7:E34" si="12">IF(ISBLANK(E48),0,G48)</f>
        <v>0</v>
      </c>
      <c r="F7" s="10"/>
      <c r="G7" s="3">
        <f t="shared" si="4"/>
        <v>0</v>
      </c>
      <c r="H7" s="5">
        <v>1</v>
      </c>
      <c r="I7" s="5"/>
      <c r="J7" s="5">
        <f t="shared" si="5"/>
        <v>0</v>
      </c>
      <c r="K7" s="11">
        <f t="shared" si="6"/>
        <v>0</v>
      </c>
      <c r="L7" s="12">
        <f t="shared" si="7"/>
        <v>0</v>
      </c>
      <c r="M7" s="4">
        <f t="shared" si="8"/>
        <v>0</v>
      </c>
      <c r="N7" s="2">
        <v>0</v>
      </c>
      <c r="O7" s="2">
        <v>0</v>
      </c>
      <c r="Q7" s="1">
        <f t="shared" si="9"/>
        <v>0</v>
      </c>
      <c r="R7" s="1">
        <f t="shared" si="9"/>
        <v>0</v>
      </c>
    </row>
    <row r="8" spans="1:39" ht="21" customHeight="1" thickTop="1" thickBot="1">
      <c r="A8" s="13" t="s">
        <v>17</v>
      </c>
      <c r="B8" s="8">
        <f t="shared" si="10"/>
        <v>0</v>
      </c>
      <c r="C8" s="9">
        <f t="shared" si="11"/>
        <v>0</v>
      </c>
      <c r="D8" s="9">
        <f t="shared" si="2"/>
        <v>0</v>
      </c>
      <c r="E8" s="8">
        <f t="shared" si="12"/>
        <v>0</v>
      </c>
      <c r="F8" s="10"/>
      <c r="G8" s="3">
        <f t="shared" si="4"/>
        <v>0</v>
      </c>
      <c r="H8" s="5">
        <v>1</v>
      </c>
      <c r="I8" s="5"/>
      <c r="J8" s="5">
        <f t="shared" si="5"/>
        <v>0</v>
      </c>
      <c r="K8" s="11">
        <f t="shared" si="6"/>
        <v>0</v>
      </c>
      <c r="L8" s="12">
        <f t="shared" si="7"/>
        <v>0</v>
      </c>
      <c r="M8" s="4">
        <f t="shared" si="8"/>
        <v>0</v>
      </c>
      <c r="N8" s="2">
        <v>0</v>
      </c>
      <c r="O8" s="2">
        <v>0</v>
      </c>
      <c r="Q8" s="1">
        <f t="shared" si="9"/>
        <v>0</v>
      </c>
      <c r="R8" s="1">
        <f t="shared" si="9"/>
        <v>0</v>
      </c>
    </row>
    <row r="9" spans="1:39" ht="21" customHeight="1" thickTop="1" thickBot="1">
      <c r="A9" s="13" t="s">
        <v>18</v>
      </c>
      <c r="B9" s="8">
        <f t="shared" si="10"/>
        <v>0</v>
      </c>
      <c r="C9" s="9">
        <f t="shared" si="11"/>
        <v>0</v>
      </c>
      <c r="D9" s="9">
        <f t="shared" si="2"/>
        <v>0</v>
      </c>
      <c r="E9" s="8">
        <f t="shared" si="12"/>
        <v>0</v>
      </c>
      <c r="F9" s="10"/>
      <c r="G9" s="3">
        <f t="shared" si="4"/>
        <v>0</v>
      </c>
      <c r="H9" s="5">
        <v>1</v>
      </c>
      <c r="I9" s="5"/>
      <c r="J9" s="5">
        <f t="shared" si="5"/>
        <v>0</v>
      </c>
      <c r="K9" s="11">
        <f t="shared" si="6"/>
        <v>0</v>
      </c>
      <c r="L9" s="12">
        <f t="shared" si="7"/>
        <v>0</v>
      </c>
      <c r="M9" s="4">
        <f t="shared" si="8"/>
        <v>0</v>
      </c>
      <c r="N9" s="2">
        <v>0</v>
      </c>
      <c r="O9" s="2">
        <v>0</v>
      </c>
      <c r="Q9" s="1">
        <f t="shared" si="9"/>
        <v>0</v>
      </c>
      <c r="R9" s="1">
        <f t="shared" si="9"/>
        <v>0</v>
      </c>
    </row>
    <row r="10" spans="1:39" ht="21" customHeight="1" thickTop="1">
      <c r="A10" s="13" t="s">
        <v>19</v>
      </c>
      <c r="B10" s="14">
        <f t="shared" si="10"/>
        <v>0</v>
      </c>
      <c r="C10" s="15">
        <f t="shared" si="11"/>
        <v>0</v>
      </c>
      <c r="D10" s="15">
        <f t="shared" si="2"/>
        <v>0</v>
      </c>
      <c r="E10" s="16">
        <f t="shared" si="12"/>
        <v>0</v>
      </c>
      <c r="F10" s="17"/>
      <c r="G10" s="18">
        <f t="shared" si="4"/>
        <v>0</v>
      </c>
      <c r="H10" s="19">
        <v>1</v>
      </c>
      <c r="I10" s="19"/>
      <c r="J10" s="19">
        <f t="shared" si="5"/>
        <v>0</v>
      </c>
      <c r="K10" s="20">
        <f t="shared" si="6"/>
        <v>0</v>
      </c>
      <c r="L10" s="21">
        <f t="shared" si="7"/>
        <v>0</v>
      </c>
      <c r="M10" s="4">
        <f t="shared" si="8"/>
        <v>0</v>
      </c>
      <c r="N10" s="2">
        <v>0</v>
      </c>
      <c r="O10" s="2">
        <v>0</v>
      </c>
      <c r="Q10" s="1">
        <f t="shared" si="9"/>
        <v>0</v>
      </c>
      <c r="R10" s="1">
        <f t="shared" si="9"/>
        <v>0</v>
      </c>
    </row>
    <row r="11" spans="1:39" ht="21" customHeight="1" thickBot="1">
      <c r="A11" s="13" t="s">
        <v>20</v>
      </c>
      <c r="B11" s="8">
        <f t="shared" si="10"/>
        <v>0</v>
      </c>
      <c r="C11" s="9">
        <f t="shared" si="11"/>
        <v>0</v>
      </c>
      <c r="D11" s="9">
        <f t="shared" si="2"/>
        <v>0</v>
      </c>
      <c r="E11" s="8">
        <f t="shared" si="12"/>
        <v>0</v>
      </c>
      <c r="F11" s="10"/>
      <c r="G11" s="3">
        <f t="shared" si="4"/>
        <v>0</v>
      </c>
      <c r="H11" s="5">
        <v>1</v>
      </c>
      <c r="I11" s="5"/>
      <c r="J11" s="5">
        <f t="shared" si="5"/>
        <v>0</v>
      </c>
      <c r="K11" s="22">
        <f t="shared" si="6"/>
        <v>0</v>
      </c>
      <c r="L11" s="23">
        <f t="shared" si="7"/>
        <v>0</v>
      </c>
      <c r="M11" s="4">
        <f t="shared" si="8"/>
        <v>0</v>
      </c>
      <c r="N11" s="2">
        <v>0</v>
      </c>
      <c r="O11" s="2">
        <v>0</v>
      </c>
      <c r="Q11" s="1">
        <f t="shared" si="9"/>
        <v>0</v>
      </c>
      <c r="R11" s="1">
        <f t="shared" si="9"/>
        <v>0</v>
      </c>
    </row>
    <row r="12" spans="1:39" ht="21" customHeight="1" thickTop="1" thickBot="1">
      <c r="A12" s="13" t="s">
        <v>21</v>
      </c>
      <c r="B12" s="8">
        <f t="shared" si="10"/>
        <v>0</v>
      </c>
      <c r="C12" s="9">
        <f t="shared" si="11"/>
        <v>0</v>
      </c>
      <c r="D12" s="9">
        <f t="shared" si="2"/>
        <v>0</v>
      </c>
      <c r="E12" s="8">
        <f t="shared" si="12"/>
        <v>0</v>
      </c>
      <c r="F12" s="10"/>
      <c r="G12" s="3">
        <f t="shared" si="4"/>
        <v>0</v>
      </c>
      <c r="H12" s="5">
        <v>1</v>
      </c>
      <c r="I12" s="5"/>
      <c r="J12" s="5">
        <f t="shared" si="5"/>
        <v>0</v>
      </c>
      <c r="K12" s="11">
        <f t="shared" si="6"/>
        <v>0</v>
      </c>
      <c r="L12" s="12">
        <f>ROUND(SIN(G12)*B12,3)</f>
        <v>0</v>
      </c>
      <c r="M12" s="4">
        <f t="shared" si="8"/>
        <v>0</v>
      </c>
      <c r="N12" s="2">
        <v>0</v>
      </c>
      <c r="O12" s="2">
        <v>0</v>
      </c>
      <c r="Q12" s="1">
        <f t="shared" si="9"/>
        <v>0</v>
      </c>
      <c r="R12" s="1">
        <f t="shared" si="9"/>
        <v>0</v>
      </c>
    </row>
    <row r="13" spans="1:39" ht="21" customHeight="1" thickTop="1" thickBot="1">
      <c r="A13" s="13" t="s">
        <v>22</v>
      </c>
      <c r="B13" s="8">
        <f t="shared" si="10"/>
        <v>0</v>
      </c>
      <c r="C13" s="9">
        <f t="shared" si="11"/>
        <v>0</v>
      </c>
      <c r="D13" s="9">
        <f t="shared" si="2"/>
        <v>0</v>
      </c>
      <c r="E13" s="8">
        <f t="shared" si="12"/>
        <v>0</v>
      </c>
      <c r="F13" s="10"/>
      <c r="G13" s="3">
        <f t="shared" si="4"/>
        <v>0</v>
      </c>
      <c r="H13" s="5">
        <v>1</v>
      </c>
      <c r="I13" s="5"/>
      <c r="J13" s="5">
        <f t="shared" si="5"/>
        <v>0</v>
      </c>
      <c r="K13" s="11">
        <f t="shared" si="6"/>
        <v>0</v>
      </c>
      <c r="L13" s="12">
        <f t="shared" si="7"/>
        <v>0</v>
      </c>
      <c r="M13" s="4">
        <f t="shared" si="8"/>
        <v>0</v>
      </c>
      <c r="N13" s="2">
        <v>0</v>
      </c>
      <c r="O13" s="2">
        <v>0</v>
      </c>
      <c r="Q13" s="1">
        <f t="shared" si="9"/>
        <v>0</v>
      </c>
      <c r="R13" s="1">
        <f t="shared" si="9"/>
        <v>0</v>
      </c>
    </row>
    <row r="14" spans="1:39" ht="21" customHeight="1" thickTop="1" thickBot="1">
      <c r="A14" s="13" t="s">
        <v>23</v>
      </c>
      <c r="B14" s="8">
        <f t="shared" si="10"/>
        <v>0</v>
      </c>
      <c r="C14" s="9">
        <f t="shared" si="11"/>
        <v>0</v>
      </c>
      <c r="D14" s="9">
        <f t="shared" si="2"/>
        <v>0</v>
      </c>
      <c r="E14" s="8">
        <f t="shared" si="12"/>
        <v>0</v>
      </c>
      <c r="F14" s="10"/>
      <c r="G14" s="3">
        <f t="shared" si="4"/>
        <v>0</v>
      </c>
      <c r="H14" s="5">
        <v>1</v>
      </c>
      <c r="I14" s="5"/>
      <c r="J14" s="5">
        <f t="shared" si="5"/>
        <v>0</v>
      </c>
      <c r="K14" s="11">
        <f t="shared" si="6"/>
        <v>0</v>
      </c>
      <c r="L14" s="12">
        <f t="shared" si="7"/>
        <v>0</v>
      </c>
      <c r="M14" s="4">
        <f t="shared" si="8"/>
        <v>0</v>
      </c>
      <c r="N14" s="2">
        <v>0</v>
      </c>
      <c r="O14" s="2">
        <v>0</v>
      </c>
      <c r="Q14" s="1">
        <f t="shared" si="9"/>
        <v>0</v>
      </c>
      <c r="R14" s="1">
        <f t="shared" si="9"/>
        <v>0</v>
      </c>
    </row>
    <row r="15" spans="1:39" ht="21" customHeight="1" thickTop="1" thickBot="1">
      <c r="A15" s="431" t="s">
        <v>24</v>
      </c>
      <c r="B15" s="8">
        <f t="shared" si="10"/>
        <v>0</v>
      </c>
      <c r="C15" s="9">
        <f t="shared" si="11"/>
        <v>0</v>
      </c>
      <c r="D15" s="9">
        <f t="shared" si="2"/>
        <v>0</v>
      </c>
      <c r="E15" s="8">
        <f t="shared" si="12"/>
        <v>0</v>
      </c>
      <c r="F15" s="10"/>
      <c r="G15" s="3">
        <f t="shared" si="4"/>
        <v>0</v>
      </c>
      <c r="H15" s="5">
        <v>1</v>
      </c>
      <c r="I15" s="5"/>
      <c r="J15" s="5">
        <f t="shared" si="5"/>
        <v>0</v>
      </c>
      <c r="K15" s="11">
        <f t="shared" si="6"/>
        <v>0</v>
      </c>
      <c r="L15" s="12">
        <f t="shared" si="7"/>
        <v>0</v>
      </c>
      <c r="M15" s="4">
        <f t="shared" si="8"/>
        <v>0</v>
      </c>
      <c r="N15" s="2">
        <v>0</v>
      </c>
      <c r="O15" s="2">
        <v>0</v>
      </c>
      <c r="Q15" s="1">
        <f t="shared" si="9"/>
        <v>0</v>
      </c>
      <c r="R15" s="1">
        <f t="shared" si="9"/>
        <v>0</v>
      </c>
    </row>
    <row r="16" spans="1:39" ht="21" customHeight="1" thickTop="1" thickBot="1">
      <c r="A16" s="432" t="s">
        <v>25</v>
      </c>
      <c r="B16" s="8">
        <f t="shared" si="10"/>
        <v>0</v>
      </c>
      <c r="C16" s="9">
        <f t="shared" si="11"/>
        <v>0</v>
      </c>
      <c r="D16" s="9">
        <f t="shared" si="2"/>
        <v>0</v>
      </c>
      <c r="E16" s="8">
        <f t="shared" si="12"/>
        <v>0</v>
      </c>
      <c r="F16" s="10"/>
      <c r="G16" s="3">
        <f t="shared" si="4"/>
        <v>0</v>
      </c>
      <c r="H16" s="5">
        <v>1</v>
      </c>
      <c r="I16" s="5"/>
      <c r="J16" s="5">
        <f t="shared" si="5"/>
        <v>0</v>
      </c>
      <c r="K16" s="11">
        <f t="shared" si="6"/>
        <v>0</v>
      </c>
      <c r="L16" s="12">
        <f t="shared" si="7"/>
        <v>0</v>
      </c>
      <c r="M16" s="4">
        <f t="shared" si="8"/>
        <v>0</v>
      </c>
      <c r="N16" s="2">
        <v>0</v>
      </c>
      <c r="O16" s="2">
        <v>0</v>
      </c>
      <c r="Q16" s="1">
        <f t="shared" si="9"/>
        <v>0</v>
      </c>
      <c r="R16" s="1">
        <f t="shared" si="9"/>
        <v>0</v>
      </c>
    </row>
    <row r="17" spans="1:20" ht="21" customHeight="1" thickTop="1" thickBot="1">
      <c r="A17" s="432" t="s">
        <v>26</v>
      </c>
      <c r="B17" s="8">
        <f t="shared" si="10"/>
        <v>0</v>
      </c>
      <c r="C17" s="9">
        <f t="shared" si="11"/>
        <v>0</v>
      </c>
      <c r="D17" s="9">
        <f t="shared" si="2"/>
        <v>0</v>
      </c>
      <c r="E17" s="8">
        <f t="shared" si="12"/>
        <v>0</v>
      </c>
      <c r="F17" s="10"/>
      <c r="G17" s="3">
        <f t="shared" si="4"/>
        <v>0</v>
      </c>
      <c r="H17" s="5">
        <v>1</v>
      </c>
      <c r="I17" s="5"/>
      <c r="J17" s="5">
        <f t="shared" si="5"/>
        <v>0</v>
      </c>
      <c r="K17" s="11">
        <f t="shared" si="6"/>
        <v>0</v>
      </c>
      <c r="L17" s="12">
        <f t="shared" si="7"/>
        <v>0</v>
      </c>
      <c r="M17" s="4">
        <f t="shared" si="8"/>
        <v>0</v>
      </c>
      <c r="N17" s="2">
        <v>0</v>
      </c>
      <c r="O17" s="2">
        <v>0</v>
      </c>
      <c r="Q17" s="1">
        <f t="shared" si="9"/>
        <v>0</v>
      </c>
      <c r="R17" s="1">
        <f t="shared" si="9"/>
        <v>0</v>
      </c>
    </row>
    <row r="18" spans="1:20" ht="21" customHeight="1" thickTop="1">
      <c r="A18" s="432" t="s">
        <v>27</v>
      </c>
      <c r="B18" s="14">
        <f t="shared" si="10"/>
        <v>0</v>
      </c>
      <c r="C18" s="9">
        <f t="shared" si="11"/>
        <v>0</v>
      </c>
      <c r="D18" s="15">
        <f t="shared" si="2"/>
        <v>0</v>
      </c>
      <c r="E18" s="16">
        <f t="shared" si="12"/>
        <v>0</v>
      </c>
      <c r="F18" s="17"/>
      <c r="G18" s="18">
        <f t="shared" si="4"/>
        <v>0</v>
      </c>
      <c r="H18" s="19">
        <v>1</v>
      </c>
      <c r="I18" s="19"/>
      <c r="J18" s="19">
        <f t="shared" si="5"/>
        <v>0</v>
      </c>
      <c r="K18" s="20">
        <f t="shared" si="6"/>
        <v>0</v>
      </c>
      <c r="L18" s="21">
        <f t="shared" si="7"/>
        <v>0</v>
      </c>
      <c r="M18" s="4">
        <f t="shared" si="8"/>
        <v>0</v>
      </c>
      <c r="N18" s="2">
        <v>0</v>
      </c>
      <c r="O18" s="2">
        <v>0</v>
      </c>
      <c r="Q18" s="1">
        <f t="shared" si="9"/>
        <v>0</v>
      </c>
      <c r="R18" s="1">
        <f t="shared" si="9"/>
        <v>0</v>
      </c>
    </row>
    <row r="19" spans="1:20" ht="21" customHeight="1" thickBot="1">
      <c r="A19" s="24" t="s">
        <v>28</v>
      </c>
      <c r="B19" s="8">
        <f t="shared" si="10"/>
        <v>0</v>
      </c>
      <c r="C19" s="25">
        <f t="shared" si="11"/>
        <v>0</v>
      </c>
      <c r="D19" s="9"/>
      <c r="E19" s="8">
        <f t="shared" si="12"/>
        <v>0</v>
      </c>
      <c r="F19" s="10"/>
      <c r="G19" s="3">
        <f t="shared" si="4"/>
        <v>0</v>
      </c>
      <c r="H19" s="5">
        <v>1</v>
      </c>
      <c r="I19" s="5"/>
      <c r="J19" s="5">
        <f t="shared" si="5"/>
        <v>0</v>
      </c>
      <c r="K19" s="26">
        <f t="shared" si="6"/>
        <v>0</v>
      </c>
      <c r="L19" s="27">
        <f t="shared" si="7"/>
        <v>0</v>
      </c>
      <c r="M19" s="4">
        <f t="shared" si="8"/>
        <v>0</v>
      </c>
      <c r="N19" s="2">
        <v>0</v>
      </c>
      <c r="O19" s="2">
        <v>0</v>
      </c>
      <c r="Q19" s="1">
        <f t="shared" ref="Q19:R34" si="13">ABS(K19)</f>
        <v>0</v>
      </c>
      <c r="R19" s="1">
        <f t="shared" si="13"/>
        <v>0</v>
      </c>
    </row>
    <row r="20" spans="1:20" ht="21" customHeight="1" thickTop="1" thickBot="1">
      <c r="A20" s="28" t="s">
        <v>29</v>
      </c>
      <c r="B20" s="8">
        <f t="shared" si="10"/>
        <v>0</v>
      </c>
      <c r="C20" s="9">
        <f t="shared" si="11"/>
        <v>0</v>
      </c>
      <c r="D20" s="9"/>
      <c r="E20" s="8">
        <f t="shared" si="12"/>
        <v>0</v>
      </c>
      <c r="F20" s="10"/>
      <c r="G20" s="3">
        <f t="shared" si="4"/>
        <v>0</v>
      </c>
      <c r="H20" s="5">
        <v>1</v>
      </c>
      <c r="I20" s="5"/>
      <c r="J20" s="5">
        <f t="shared" si="5"/>
        <v>0</v>
      </c>
      <c r="K20" s="29">
        <f t="shared" si="6"/>
        <v>0</v>
      </c>
      <c r="L20" s="30">
        <f t="shared" si="7"/>
        <v>0</v>
      </c>
      <c r="M20" s="4">
        <f t="shared" si="8"/>
        <v>0</v>
      </c>
      <c r="N20" s="2">
        <v>0</v>
      </c>
      <c r="O20" s="2">
        <v>0</v>
      </c>
      <c r="Q20" s="1">
        <f t="shared" si="13"/>
        <v>0</v>
      </c>
      <c r="R20" s="1">
        <f t="shared" si="13"/>
        <v>0</v>
      </c>
    </row>
    <row r="21" spans="1:20" ht="21" customHeight="1" thickTop="1" thickBot="1">
      <c r="A21" s="31" t="s">
        <v>30</v>
      </c>
      <c r="B21" s="8">
        <f t="shared" si="10"/>
        <v>0</v>
      </c>
      <c r="C21" s="9">
        <f t="shared" si="11"/>
        <v>0</v>
      </c>
      <c r="D21" s="9"/>
      <c r="E21" s="8">
        <f t="shared" si="12"/>
        <v>0</v>
      </c>
      <c r="F21" s="10"/>
      <c r="G21" s="3">
        <f t="shared" si="4"/>
        <v>0</v>
      </c>
      <c r="H21" s="5">
        <v>1</v>
      </c>
      <c r="I21" s="5"/>
      <c r="J21" s="5">
        <f t="shared" si="5"/>
        <v>0</v>
      </c>
      <c r="K21" s="29">
        <f t="shared" si="6"/>
        <v>0</v>
      </c>
      <c r="L21" s="30">
        <f t="shared" si="7"/>
        <v>0</v>
      </c>
      <c r="M21" s="4">
        <f t="shared" si="8"/>
        <v>0</v>
      </c>
      <c r="N21" s="2">
        <v>0</v>
      </c>
      <c r="O21" s="2">
        <v>0</v>
      </c>
      <c r="Q21" s="1">
        <f t="shared" si="13"/>
        <v>0</v>
      </c>
      <c r="R21" s="1">
        <f t="shared" si="13"/>
        <v>0</v>
      </c>
    </row>
    <row r="22" spans="1:20" ht="21" customHeight="1" thickTop="1" thickBot="1">
      <c r="A22" s="32" t="s">
        <v>31</v>
      </c>
      <c r="B22" s="8">
        <f t="shared" si="10"/>
        <v>0</v>
      </c>
      <c r="C22" s="9">
        <f t="shared" si="11"/>
        <v>0</v>
      </c>
      <c r="D22" s="9"/>
      <c r="E22" s="8">
        <f t="shared" si="12"/>
        <v>0</v>
      </c>
      <c r="F22" s="10"/>
      <c r="G22" s="3">
        <f t="shared" si="4"/>
        <v>0</v>
      </c>
      <c r="H22" s="5">
        <v>1</v>
      </c>
      <c r="I22" s="5"/>
      <c r="J22" s="5">
        <f t="shared" si="5"/>
        <v>0</v>
      </c>
      <c r="K22" s="29">
        <f t="shared" si="6"/>
        <v>0</v>
      </c>
      <c r="L22" s="30">
        <f t="shared" si="7"/>
        <v>0</v>
      </c>
      <c r="M22" s="4">
        <f t="shared" si="8"/>
        <v>0</v>
      </c>
      <c r="N22" s="2">
        <v>0</v>
      </c>
      <c r="O22" s="2">
        <v>0</v>
      </c>
      <c r="Q22" s="1">
        <f t="shared" si="13"/>
        <v>0</v>
      </c>
      <c r="R22" s="1">
        <f t="shared" si="13"/>
        <v>0</v>
      </c>
    </row>
    <row r="23" spans="1:20" ht="21" customHeight="1" thickTop="1">
      <c r="A23" s="33" t="s">
        <v>32</v>
      </c>
      <c r="B23" s="16">
        <f t="shared" si="10"/>
        <v>0</v>
      </c>
      <c r="C23" s="15">
        <f t="shared" si="11"/>
        <v>0</v>
      </c>
      <c r="D23" s="15"/>
      <c r="E23" s="16">
        <f t="shared" si="12"/>
        <v>0</v>
      </c>
      <c r="F23" s="17"/>
      <c r="G23" s="18">
        <f t="shared" si="4"/>
        <v>0</v>
      </c>
      <c r="H23" s="19">
        <v>1</v>
      </c>
      <c r="I23" s="19"/>
      <c r="J23" s="19">
        <f t="shared" si="5"/>
        <v>0</v>
      </c>
      <c r="K23" s="34">
        <f t="shared" si="6"/>
        <v>0</v>
      </c>
      <c r="L23" s="35">
        <f t="shared" si="7"/>
        <v>0</v>
      </c>
      <c r="M23" s="4">
        <f t="shared" si="8"/>
        <v>0</v>
      </c>
      <c r="N23" s="2">
        <v>0</v>
      </c>
      <c r="O23" s="2">
        <v>0</v>
      </c>
      <c r="Q23" s="36">
        <f t="shared" si="13"/>
        <v>0</v>
      </c>
      <c r="R23" s="37">
        <f t="shared" si="13"/>
        <v>0</v>
      </c>
      <c r="S23" s="38"/>
      <c r="T23" s="38"/>
    </row>
    <row r="24" spans="1:20" ht="21" customHeight="1" thickBot="1">
      <c r="A24" s="39" t="s">
        <v>33</v>
      </c>
      <c r="B24" s="8">
        <f t="shared" si="10"/>
        <v>0</v>
      </c>
      <c r="C24" s="9">
        <f t="shared" si="11"/>
        <v>0</v>
      </c>
      <c r="D24" s="9"/>
      <c r="E24" s="8">
        <f t="shared" si="12"/>
        <v>0</v>
      </c>
      <c r="F24" s="10"/>
      <c r="G24" s="3">
        <f t="shared" si="4"/>
        <v>0</v>
      </c>
      <c r="H24" s="5">
        <v>1</v>
      </c>
      <c r="I24" s="5"/>
      <c r="J24" s="5">
        <f t="shared" si="5"/>
        <v>0</v>
      </c>
      <c r="K24" s="40">
        <f t="shared" si="6"/>
        <v>0</v>
      </c>
      <c r="L24" s="41">
        <f t="shared" si="7"/>
        <v>0</v>
      </c>
      <c r="M24" s="4">
        <f t="shared" si="8"/>
        <v>0</v>
      </c>
      <c r="N24" s="2">
        <v>0</v>
      </c>
      <c r="O24" s="2">
        <v>0</v>
      </c>
      <c r="Q24" s="36">
        <f t="shared" si="13"/>
        <v>0</v>
      </c>
      <c r="R24" s="37">
        <f t="shared" si="13"/>
        <v>0</v>
      </c>
      <c r="S24" s="38"/>
      <c r="T24" s="38"/>
    </row>
    <row r="25" spans="1:20" ht="21" customHeight="1" thickTop="1" thickBot="1">
      <c r="A25" s="42" t="s">
        <v>34</v>
      </c>
      <c r="B25" s="8">
        <f t="shared" si="10"/>
        <v>0</v>
      </c>
      <c r="C25" s="9">
        <f t="shared" si="11"/>
        <v>0</v>
      </c>
      <c r="D25" s="9"/>
      <c r="E25" s="8">
        <f t="shared" si="12"/>
        <v>0</v>
      </c>
      <c r="F25" s="10"/>
      <c r="G25" s="3">
        <f t="shared" si="4"/>
        <v>0</v>
      </c>
      <c r="H25" s="5">
        <v>1</v>
      </c>
      <c r="I25" s="5"/>
      <c r="J25" s="5">
        <f t="shared" si="5"/>
        <v>0</v>
      </c>
      <c r="K25" s="43">
        <f t="shared" si="6"/>
        <v>0</v>
      </c>
      <c r="L25" s="44">
        <f t="shared" si="7"/>
        <v>0</v>
      </c>
      <c r="M25" s="4">
        <f t="shared" si="8"/>
        <v>0</v>
      </c>
      <c r="N25" s="2">
        <v>0</v>
      </c>
      <c r="O25" s="2">
        <v>0</v>
      </c>
      <c r="Q25" s="36">
        <f t="shared" si="13"/>
        <v>0</v>
      </c>
      <c r="R25" s="37">
        <f t="shared" si="13"/>
        <v>0</v>
      </c>
      <c r="S25" s="38"/>
      <c r="T25" s="38"/>
    </row>
    <row r="26" spans="1:20" ht="21" customHeight="1" thickTop="1" thickBot="1">
      <c r="A26" s="42" t="s">
        <v>35</v>
      </c>
      <c r="B26" s="8">
        <f t="shared" si="10"/>
        <v>0</v>
      </c>
      <c r="C26" s="9">
        <f t="shared" si="11"/>
        <v>0</v>
      </c>
      <c r="D26" s="9"/>
      <c r="E26" s="8">
        <f t="shared" si="12"/>
        <v>0</v>
      </c>
      <c r="F26" s="10"/>
      <c r="G26" s="3">
        <f t="shared" si="4"/>
        <v>0</v>
      </c>
      <c r="H26" s="5">
        <v>1</v>
      </c>
      <c r="I26" s="5"/>
      <c r="J26" s="5">
        <f t="shared" si="5"/>
        <v>0</v>
      </c>
      <c r="K26" s="43">
        <f t="shared" si="6"/>
        <v>0</v>
      </c>
      <c r="L26" s="44">
        <f t="shared" si="7"/>
        <v>0</v>
      </c>
      <c r="M26" s="4">
        <f t="shared" si="8"/>
        <v>0</v>
      </c>
      <c r="N26" s="2">
        <v>0</v>
      </c>
      <c r="O26" s="2">
        <v>0</v>
      </c>
      <c r="Q26" s="36">
        <f t="shared" si="13"/>
        <v>0</v>
      </c>
      <c r="R26" s="37">
        <f t="shared" si="13"/>
        <v>0</v>
      </c>
      <c r="S26" s="38"/>
      <c r="T26" s="38"/>
    </row>
    <row r="27" spans="1:20" ht="21" customHeight="1" thickTop="1" thickBot="1">
      <c r="A27" s="42" t="s">
        <v>36</v>
      </c>
      <c r="B27" s="8">
        <f t="shared" si="10"/>
        <v>0</v>
      </c>
      <c r="C27" s="9">
        <f t="shared" si="11"/>
        <v>0</v>
      </c>
      <c r="D27" s="9"/>
      <c r="E27" s="8">
        <f t="shared" si="12"/>
        <v>0</v>
      </c>
      <c r="F27" s="10"/>
      <c r="G27" s="3">
        <f t="shared" si="4"/>
        <v>0</v>
      </c>
      <c r="H27" s="5">
        <v>1</v>
      </c>
      <c r="I27" s="5"/>
      <c r="J27" s="5">
        <f t="shared" si="5"/>
        <v>0</v>
      </c>
      <c r="K27" s="43">
        <f t="shared" si="6"/>
        <v>0</v>
      </c>
      <c r="L27" s="44">
        <f t="shared" si="7"/>
        <v>0</v>
      </c>
      <c r="M27" s="4">
        <f t="shared" si="8"/>
        <v>0</v>
      </c>
      <c r="N27" s="2">
        <v>0</v>
      </c>
      <c r="O27" s="2">
        <v>0</v>
      </c>
      <c r="Q27" s="36">
        <f t="shared" si="13"/>
        <v>0</v>
      </c>
      <c r="R27" s="37">
        <f t="shared" si="13"/>
        <v>0</v>
      </c>
      <c r="S27" s="38"/>
      <c r="T27" s="38"/>
    </row>
    <row r="28" spans="1:20" ht="21" customHeight="1" thickTop="1" thickBot="1">
      <c r="A28" s="42" t="s">
        <v>37</v>
      </c>
      <c r="B28" s="8">
        <f t="shared" si="10"/>
        <v>0</v>
      </c>
      <c r="C28" s="9">
        <f t="shared" si="11"/>
        <v>0</v>
      </c>
      <c r="D28" s="9"/>
      <c r="E28" s="8">
        <f t="shared" si="12"/>
        <v>0</v>
      </c>
      <c r="F28" s="10"/>
      <c r="G28" s="3">
        <f t="shared" si="4"/>
        <v>0</v>
      </c>
      <c r="H28" s="5">
        <v>1</v>
      </c>
      <c r="I28" s="5"/>
      <c r="J28" s="5">
        <f t="shared" si="5"/>
        <v>0</v>
      </c>
      <c r="K28" s="43">
        <f t="shared" si="6"/>
        <v>0</v>
      </c>
      <c r="L28" s="44">
        <f t="shared" si="7"/>
        <v>0</v>
      </c>
      <c r="M28" s="4">
        <f t="shared" si="8"/>
        <v>0</v>
      </c>
      <c r="N28" s="2">
        <v>0</v>
      </c>
      <c r="O28" s="2">
        <v>0</v>
      </c>
      <c r="Q28" s="36">
        <f t="shared" si="13"/>
        <v>0</v>
      </c>
      <c r="R28" s="37">
        <f t="shared" si="13"/>
        <v>0</v>
      </c>
      <c r="S28" s="38"/>
      <c r="T28" s="38"/>
    </row>
    <row r="29" spans="1:20" ht="21" customHeight="1" thickTop="1" thickBot="1">
      <c r="A29" s="42" t="s">
        <v>38</v>
      </c>
      <c r="B29" s="8">
        <f t="shared" si="10"/>
        <v>0</v>
      </c>
      <c r="C29" s="9">
        <f t="shared" si="11"/>
        <v>0</v>
      </c>
      <c r="D29" s="9"/>
      <c r="E29" s="8">
        <f t="shared" si="12"/>
        <v>0</v>
      </c>
      <c r="F29" s="10"/>
      <c r="G29" s="3">
        <f t="shared" si="4"/>
        <v>0</v>
      </c>
      <c r="H29" s="5">
        <v>1</v>
      </c>
      <c r="I29" s="5"/>
      <c r="J29" s="5">
        <f t="shared" si="5"/>
        <v>0</v>
      </c>
      <c r="K29" s="43">
        <f t="shared" si="6"/>
        <v>0</v>
      </c>
      <c r="L29" s="44">
        <f t="shared" si="7"/>
        <v>0</v>
      </c>
      <c r="M29" s="4">
        <f t="shared" si="8"/>
        <v>0</v>
      </c>
      <c r="N29" s="2">
        <v>0</v>
      </c>
      <c r="O29" s="2">
        <v>0</v>
      </c>
      <c r="Q29" s="36">
        <f t="shared" si="13"/>
        <v>0</v>
      </c>
      <c r="R29" s="37">
        <f t="shared" si="13"/>
        <v>0</v>
      </c>
      <c r="S29" s="38"/>
      <c r="T29" s="38"/>
    </row>
    <row r="30" spans="1:20" ht="21" customHeight="1" thickTop="1" thickBot="1">
      <c r="A30" s="42" t="s">
        <v>39</v>
      </c>
      <c r="B30" s="8">
        <f t="shared" si="10"/>
        <v>0</v>
      </c>
      <c r="C30" s="9">
        <f t="shared" si="11"/>
        <v>0</v>
      </c>
      <c r="D30" s="9"/>
      <c r="E30" s="8">
        <f t="shared" si="12"/>
        <v>0</v>
      </c>
      <c r="F30" s="10"/>
      <c r="G30" s="3">
        <f t="shared" si="4"/>
        <v>0</v>
      </c>
      <c r="H30" s="5">
        <v>1</v>
      </c>
      <c r="I30" s="5"/>
      <c r="J30" s="5">
        <f t="shared" si="5"/>
        <v>0</v>
      </c>
      <c r="K30" s="43">
        <f t="shared" si="6"/>
        <v>0</v>
      </c>
      <c r="L30" s="44">
        <f t="shared" si="7"/>
        <v>0</v>
      </c>
      <c r="M30" s="4">
        <f t="shared" si="8"/>
        <v>0</v>
      </c>
      <c r="N30" s="2">
        <v>0</v>
      </c>
      <c r="O30" s="2">
        <v>0</v>
      </c>
      <c r="Q30" s="36">
        <f t="shared" si="13"/>
        <v>0</v>
      </c>
      <c r="R30" s="37">
        <f t="shared" si="13"/>
        <v>0</v>
      </c>
      <c r="S30" s="38"/>
      <c r="T30" s="38"/>
    </row>
    <row r="31" spans="1:20" ht="21" customHeight="1" thickTop="1" thickBot="1">
      <c r="A31" s="42" t="s">
        <v>40</v>
      </c>
      <c r="B31" s="8">
        <f t="shared" si="10"/>
        <v>0</v>
      </c>
      <c r="C31" s="9">
        <f t="shared" si="11"/>
        <v>0</v>
      </c>
      <c r="D31" s="9"/>
      <c r="E31" s="8">
        <f t="shared" si="12"/>
        <v>0</v>
      </c>
      <c r="F31" s="10"/>
      <c r="G31" s="3">
        <f t="shared" si="4"/>
        <v>0</v>
      </c>
      <c r="H31" s="5">
        <v>1</v>
      </c>
      <c r="I31" s="5"/>
      <c r="J31" s="5">
        <f t="shared" si="5"/>
        <v>0</v>
      </c>
      <c r="K31" s="43">
        <f t="shared" si="6"/>
        <v>0</v>
      </c>
      <c r="L31" s="44">
        <f t="shared" si="7"/>
        <v>0</v>
      </c>
      <c r="M31" s="4">
        <f t="shared" si="8"/>
        <v>0</v>
      </c>
      <c r="N31" s="2">
        <v>0</v>
      </c>
      <c r="O31" s="2">
        <v>0</v>
      </c>
      <c r="Q31" s="36">
        <f t="shared" si="13"/>
        <v>0</v>
      </c>
      <c r="R31" s="37">
        <f t="shared" si="13"/>
        <v>0</v>
      </c>
      <c r="S31" s="38"/>
      <c r="T31" s="38"/>
    </row>
    <row r="32" spans="1:20" ht="21" customHeight="1" thickTop="1" thickBot="1">
      <c r="A32" s="42" t="s">
        <v>41</v>
      </c>
      <c r="B32" s="8">
        <f t="shared" si="10"/>
        <v>0</v>
      </c>
      <c r="C32" s="9">
        <f t="shared" si="11"/>
        <v>0</v>
      </c>
      <c r="D32" s="9"/>
      <c r="E32" s="8">
        <f t="shared" si="12"/>
        <v>0</v>
      </c>
      <c r="F32" s="10"/>
      <c r="G32" s="3">
        <f t="shared" si="4"/>
        <v>0</v>
      </c>
      <c r="H32" s="5">
        <v>1</v>
      </c>
      <c r="I32" s="5"/>
      <c r="J32" s="5">
        <f t="shared" si="5"/>
        <v>0</v>
      </c>
      <c r="K32" s="43">
        <f t="shared" si="6"/>
        <v>0</v>
      </c>
      <c r="L32" s="44">
        <f t="shared" si="7"/>
        <v>0</v>
      </c>
      <c r="M32" s="4">
        <f t="shared" si="8"/>
        <v>0</v>
      </c>
      <c r="N32" s="2">
        <v>0</v>
      </c>
      <c r="O32" s="2">
        <v>0</v>
      </c>
      <c r="Q32" s="36">
        <f t="shared" si="13"/>
        <v>0</v>
      </c>
      <c r="R32" s="37">
        <f t="shared" si="13"/>
        <v>0</v>
      </c>
      <c r="S32" s="38"/>
      <c r="T32" s="38"/>
    </row>
    <row r="33" spans="1:39" ht="21" customHeight="1" thickTop="1" thickBot="1">
      <c r="A33" s="42" t="s">
        <v>42</v>
      </c>
      <c r="B33" s="8">
        <f t="shared" si="10"/>
        <v>0</v>
      </c>
      <c r="C33" s="9">
        <f t="shared" si="11"/>
        <v>0</v>
      </c>
      <c r="D33" s="9"/>
      <c r="E33" s="8">
        <f t="shared" si="12"/>
        <v>0</v>
      </c>
      <c r="F33" s="10"/>
      <c r="G33" s="3">
        <f t="shared" si="4"/>
        <v>0</v>
      </c>
      <c r="H33" s="5">
        <v>1</v>
      </c>
      <c r="I33" s="5"/>
      <c r="J33" s="5">
        <f t="shared" si="5"/>
        <v>0</v>
      </c>
      <c r="K33" s="43">
        <f t="shared" si="6"/>
        <v>0</v>
      </c>
      <c r="L33" s="44">
        <f t="shared" si="7"/>
        <v>0</v>
      </c>
      <c r="M33" s="4">
        <f t="shared" si="8"/>
        <v>0</v>
      </c>
      <c r="N33" s="2">
        <v>0</v>
      </c>
      <c r="O33" s="2">
        <v>0</v>
      </c>
      <c r="Q33" s="36">
        <f t="shared" si="13"/>
        <v>0</v>
      </c>
      <c r="R33" s="37">
        <f t="shared" si="13"/>
        <v>0</v>
      </c>
      <c r="S33" s="38"/>
      <c r="T33" s="38"/>
    </row>
    <row r="34" spans="1:39" ht="21" customHeight="1" thickTop="1">
      <c r="A34" s="33" t="s">
        <v>43</v>
      </c>
      <c r="B34" s="16">
        <f t="shared" si="10"/>
        <v>0</v>
      </c>
      <c r="C34" s="15">
        <f t="shared" si="11"/>
        <v>0</v>
      </c>
      <c r="D34" s="15"/>
      <c r="E34" s="16">
        <f t="shared" si="12"/>
        <v>0</v>
      </c>
      <c r="F34" s="17"/>
      <c r="G34" s="18">
        <f t="shared" si="4"/>
        <v>0</v>
      </c>
      <c r="H34" s="19">
        <v>1</v>
      </c>
      <c r="I34" s="19"/>
      <c r="J34" s="19">
        <f t="shared" si="5"/>
        <v>0</v>
      </c>
      <c r="K34" s="45">
        <f t="shared" si="6"/>
        <v>0</v>
      </c>
      <c r="L34" s="46">
        <f t="shared" si="7"/>
        <v>0</v>
      </c>
      <c r="M34" s="4">
        <f t="shared" si="8"/>
        <v>0</v>
      </c>
      <c r="N34" s="2">
        <v>0</v>
      </c>
      <c r="O34" s="2">
        <v>0</v>
      </c>
      <c r="Q34" s="36">
        <f t="shared" si="13"/>
        <v>0</v>
      </c>
      <c r="R34" s="37">
        <f t="shared" si="13"/>
        <v>0</v>
      </c>
      <c r="S34" s="38"/>
      <c r="T34" s="38"/>
    </row>
    <row r="35" spans="1:39" ht="21" customHeight="1">
      <c r="A35" s="47" t="s">
        <v>44</v>
      </c>
      <c r="B35" s="9">
        <f>K76</f>
        <v>0</v>
      </c>
      <c r="C35" s="9"/>
      <c r="D35" s="9"/>
      <c r="E35" s="9">
        <f>G76</f>
        <v>0</v>
      </c>
      <c r="F35" s="48"/>
      <c r="G35" s="4">
        <f t="shared" si="4"/>
        <v>0</v>
      </c>
      <c r="H35" s="5">
        <v>1</v>
      </c>
      <c r="I35" s="5"/>
      <c r="J35" s="5">
        <f t="shared" si="5"/>
        <v>0</v>
      </c>
      <c r="K35" s="49">
        <f t="shared" si="6"/>
        <v>0</v>
      </c>
      <c r="L35" s="49">
        <f t="shared" si="7"/>
        <v>0</v>
      </c>
      <c r="M35" s="4"/>
      <c r="N35" s="2">
        <v>0</v>
      </c>
      <c r="O35" s="2">
        <v>0</v>
      </c>
      <c r="Q35" s="36">
        <f t="shared" ref="Q35:R41" si="14">ABS(K35)</f>
        <v>0</v>
      </c>
      <c r="R35" s="37">
        <f t="shared" si="14"/>
        <v>0</v>
      </c>
      <c r="S35" s="38"/>
      <c r="T35" s="38"/>
    </row>
    <row r="36" spans="1:39" ht="21" customHeight="1">
      <c r="A36" s="50" t="s">
        <v>45</v>
      </c>
      <c r="B36" s="51"/>
      <c r="C36" s="51"/>
      <c r="D36" s="51"/>
      <c r="E36" s="52">
        <f t="shared" ref="E36:E41" si="15">IF(OR(K36&lt;&gt;0,L36&lt;&gt;0),
IF(L36=0,IF(K36&gt;0,0,180),
ROUND(90-DEGREES(IF(L36&lt;0,RADIANS(-180)+ATAN(K36/L36),ATAN(K36/L36))),2)),
0)</f>
        <v>0</v>
      </c>
      <c r="F36" s="53"/>
      <c r="G36" s="54">
        <f t="shared" si="4"/>
        <v>0</v>
      </c>
      <c r="H36" s="55" t="s">
        <v>46</v>
      </c>
      <c r="I36" s="56"/>
      <c r="J36" s="56"/>
      <c r="K36" s="57">
        <f t="shared" ref="K36:L36" si="16">ROUND(SUM(K3:K35),3)</f>
        <v>0</v>
      </c>
      <c r="L36" s="57">
        <f t="shared" si="16"/>
        <v>0</v>
      </c>
      <c r="M36" s="58">
        <f t="shared" ref="M36:M40" si="17">DEGREES(G36)</f>
        <v>0</v>
      </c>
      <c r="N36" s="53">
        <v>0</v>
      </c>
      <c r="O36" s="53">
        <v>0</v>
      </c>
      <c r="P36" s="59"/>
      <c r="Q36" s="60">
        <f t="shared" si="14"/>
        <v>0</v>
      </c>
      <c r="R36" s="61">
        <f t="shared" si="14"/>
        <v>0</v>
      </c>
      <c r="S36" s="62">
        <f t="shared" ref="S36:S40" si="18">SQRT(K36^2+L36^2)</f>
        <v>0</v>
      </c>
      <c r="T36" s="62" t="e">
        <f>ROUND(ACOS(L36/S36),6)</f>
        <v>#DIV/0!</v>
      </c>
      <c r="U36" s="63" t="e">
        <f>ROUND(DEGREES(T36),3)</f>
        <v>#DIV/0!</v>
      </c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</row>
    <row r="37" spans="1:39" ht="21" customHeight="1">
      <c r="A37" s="50" t="s">
        <v>47</v>
      </c>
      <c r="B37" s="2"/>
      <c r="C37" s="2"/>
      <c r="D37" s="2"/>
      <c r="E37" s="65">
        <f t="shared" si="15"/>
        <v>0</v>
      </c>
      <c r="F37" s="4"/>
      <c r="G37" s="66">
        <f t="shared" si="4"/>
        <v>0</v>
      </c>
      <c r="H37" s="67" t="s">
        <v>48</v>
      </c>
      <c r="I37" s="5"/>
      <c r="J37" s="5"/>
      <c r="K37" s="68">
        <f t="shared" ref="K37:L37" si="19">ROUND(SUM(K3:K18),3)</f>
        <v>0</v>
      </c>
      <c r="L37" s="69">
        <f t="shared" si="19"/>
        <v>0</v>
      </c>
      <c r="M37" s="4">
        <f t="shared" si="17"/>
        <v>0</v>
      </c>
      <c r="N37" s="70">
        <v>0</v>
      </c>
      <c r="O37" s="70">
        <v>0</v>
      </c>
      <c r="P37" s="71"/>
      <c r="Q37" s="36">
        <f t="shared" si="14"/>
        <v>0</v>
      </c>
      <c r="R37" s="37">
        <f t="shared" si="14"/>
        <v>0</v>
      </c>
      <c r="S37">
        <f t="shared" si="18"/>
        <v>0</v>
      </c>
      <c r="T37" t="e">
        <f t="shared" ref="T37:T40" si="20">ROUND(ASIN(L37/S37),6)</f>
        <v>#DIV/0!</v>
      </c>
      <c r="U37" s="2" t="e">
        <f t="shared" ref="U37:U40" si="21">ROUND(DEGREES(T37),3)</f>
        <v>#DIV/0!</v>
      </c>
    </row>
    <row r="38" spans="1:39" ht="21" customHeight="1">
      <c r="A38" s="72" t="s">
        <v>49</v>
      </c>
      <c r="B38" s="2"/>
      <c r="C38" s="2"/>
      <c r="D38" s="2"/>
      <c r="E38" s="65">
        <f t="shared" si="15"/>
        <v>0</v>
      </c>
      <c r="F38" s="4"/>
      <c r="G38" s="66">
        <f t="shared" si="4"/>
        <v>0</v>
      </c>
      <c r="H38" s="67" t="s">
        <v>50</v>
      </c>
      <c r="I38" s="5"/>
      <c r="J38" s="5"/>
      <c r="K38" s="73">
        <f t="shared" ref="K38:L38" si="22">ROUND(SUM(K24:K34),3)</f>
        <v>0</v>
      </c>
      <c r="L38" s="74">
        <f t="shared" si="22"/>
        <v>0</v>
      </c>
      <c r="M38" s="4">
        <f t="shared" si="17"/>
        <v>0</v>
      </c>
      <c r="N38" s="70">
        <v>0</v>
      </c>
      <c r="O38" s="70">
        <v>0</v>
      </c>
      <c r="P38" s="71"/>
      <c r="Q38" s="36">
        <f t="shared" si="14"/>
        <v>0</v>
      </c>
      <c r="R38" s="37">
        <f t="shared" si="14"/>
        <v>0</v>
      </c>
      <c r="S38">
        <f t="shared" si="18"/>
        <v>0</v>
      </c>
      <c r="T38" t="e">
        <f t="shared" si="20"/>
        <v>#DIV/0!</v>
      </c>
      <c r="U38" s="2" t="e">
        <f t="shared" si="21"/>
        <v>#DIV/0!</v>
      </c>
    </row>
    <row r="39" spans="1:39" ht="21" customHeight="1">
      <c r="A39" s="72" t="s">
        <v>51</v>
      </c>
      <c r="B39" s="2"/>
      <c r="C39" s="2"/>
      <c r="D39" s="2"/>
      <c r="E39" s="65">
        <f t="shared" si="15"/>
        <v>0</v>
      </c>
      <c r="F39" s="4"/>
      <c r="G39" s="66">
        <f t="shared" si="4"/>
        <v>0</v>
      </c>
      <c r="H39" s="67" t="s">
        <v>52</v>
      </c>
      <c r="I39" s="5"/>
      <c r="J39" s="5"/>
      <c r="K39" s="75">
        <f t="shared" ref="K39:L39" si="23">ROUND(SUM(K19:K23),3)</f>
        <v>0</v>
      </c>
      <c r="L39" s="76">
        <f t="shared" si="23"/>
        <v>0</v>
      </c>
      <c r="M39" s="4">
        <f t="shared" si="17"/>
        <v>0</v>
      </c>
      <c r="N39" s="70">
        <v>0</v>
      </c>
      <c r="O39" s="70">
        <v>0</v>
      </c>
      <c r="P39" s="71"/>
      <c r="Q39" s="36">
        <f t="shared" si="14"/>
        <v>0</v>
      </c>
      <c r="R39" s="37">
        <f t="shared" si="14"/>
        <v>0</v>
      </c>
      <c r="S39">
        <f t="shared" si="18"/>
        <v>0</v>
      </c>
      <c r="T39" t="e">
        <f t="shared" si="20"/>
        <v>#DIV/0!</v>
      </c>
      <c r="U39" s="2" t="e">
        <f t="shared" si="21"/>
        <v>#DIV/0!</v>
      </c>
      <c r="V39" t="e">
        <f>J19/ABS(J19)</f>
        <v>#DIV/0!</v>
      </c>
    </row>
    <row r="40" spans="1:39" ht="21" customHeight="1">
      <c r="A40" s="72" t="s">
        <v>53</v>
      </c>
      <c r="B40" s="2"/>
      <c r="C40" s="2"/>
      <c r="D40" s="2"/>
      <c r="E40" s="65">
        <f t="shared" si="15"/>
        <v>0</v>
      </c>
      <c r="F40" s="4"/>
      <c r="G40" s="66">
        <f t="shared" si="4"/>
        <v>0</v>
      </c>
      <c r="H40" s="67" t="s">
        <v>54</v>
      </c>
      <c r="I40" s="5"/>
      <c r="J40" s="5"/>
      <c r="K40" s="68">
        <f t="shared" ref="K40:L40" si="24">ROUND(SUM(K3:K10),3)</f>
        <v>0</v>
      </c>
      <c r="L40" s="68">
        <f t="shared" si="24"/>
        <v>0</v>
      </c>
      <c r="M40" s="4">
        <f t="shared" si="17"/>
        <v>0</v>
      </c>
      <c r="N40" s="70">
        <v>0</v>
      </c>
      <c r="O40" s="70">
        <v>0</v>
      </c>
      <c r="P40" s="71"/>
      <c r="Q40" s="36">
        <f t="shared" si="14"/>
        <v>0</v>
      </c>
      <c r="R40" s="37">
        <f t="shared" si="14"/>
        <v>0</v>
      </c>
      <c r="S40">
        <f t="shared" si="18"/>
        <v>0</v>
      </c>
      <c r="T40" t="e">
        <f t="shared" si="20"/>
        <v>#DIV/0!</v>
      </c>
      <c r="U40" s="77" t="e">
        <f t="shared" si="21"/>
        <v>#DIV/0!</v>
      </c>
      <c r="V40" s="78" t="s">
        <v>55</v>
      </c>
    </row>
    <row r="41" spans="1:39" ht="21" customHeight="1" thickBot="1">
      <c r="A41" s="79"/>
      <c r="B41" s="2"/>
      <c r="C41" s="2"/>
      <c r="D41" s="2"/>
      <c r="E41" s="80">
        <f t="shared" si="15"/>
        <v>0</v>
      </c>
      <c r="F41" s="81"/>
      <c r="G41" s="82">
        <f t="shared" si="4"/>
        <v>0</v>
      </c>
      <c r="H41" s="83" t="s">
        <v>56</v>
      </c>
      <c r="I41" s="84"/>
      <c r="J41" s="84"/>
      <c r="K41" s="81">
        <f t="shared" ref="K41:L41" si="25">K39+K40</f>
        <v>0</v>
      </c>
      <c r="L41" s="81">
        <f t="shared" si="25"/>
        <v>0</v>
      </c>
      <c r="M41" s="5"/>
      <c r="N41" s="5"/>
      <c r="O41" s="5"/>
      <c r="P41" s="85"/>
      <c r="Q41" s="36">
        <f t="shared" si="14"/>
        <v>0</v>
      </c>
      <c r="R41" s="37">
        <f t="shared" si="14"/>
        <v>0</v>
      </c>
      <c r="S41" s="86" t="s">
        <v>57</v>
      </c>
      <c r="T41" t="s">
        <v>58</v>
      </c>
      <c r="U41" t="s">
        <v>59</v>
      </c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  <c r="AL41" s="79"/>
      <c r="AM41" s="79"/>
    </row>
    <row r="42" spans="1:39" ht="21" customHeight="1">
      <c r="B42" s="91" t="s">
        <v>60</v>
      </c>
      <c r="C42" s="471" t="s">
        <v>64</v>
      </c>
      <c r="D42" s="472"/>
      <c r="E42" s="473"/>
      <c r="F42" s="92" t="s">
        <v>65</v>
      </c>
      <c r="G42" s="93" t="s">
        <v>66</v>
      </c>
      <c r="H42" s="93" t="s">
        <v>67</v>
      </c>
      <c r="I42" s="93" t="s">
        <v>68</v>
      </c>
      <c r="J42" s="93" t="s">
        <v>69</v>
      </c>
      <c r="K42" s="93" t="s">
        <v>70</v>
      </c>
      <c r="L42" s="94" t="s">
        <v>71</v>
      </c>
      <c r="M42" s="5"/>
      <c r="O42" s="87"/>
    </row>
    <row r="43" spans="1:39" ht="21" customHeight="1">
      <c r="B43" s="95"/>
      <c r="C43" s="96" t="s">
        <v>72</v>
      </c>
      <c r="D43" s="97"/>
      <c r="E43" s="98" t="s">
        <v>73</v>
      </c>
      <c r="F43" s="99" t="s">
        <v>73</v>
      </c>
      <c r="G43" s="100" t="s">
        <v>74</v>
      </c>
      <c r="H43" s="100" t="s">
        <v>61</v>
      </c>
      <c r="I43" s="100" t="s">
        <v>61</v>
      </c>
      <c r="J43" s="100" t="s">
        <v>75</v>
      </c>
      <c r="K43" s="100" t="s">
        <v>62</v>
      </c>
      <c r="L43" s="101" t="s">
        <v>76</v>
      </c>
      <c r="M43" s="5"/>
    </row>
    <row r="44" spans="1:39" ht="21" customHeight="1">
      <c r="B44" s="102" t="s">
        <v>77</v>
      </c>
      <c r="C44" s="103" t="s">
        <v>78</v>
      </c>
      <c r="D44" s="104"/>
      <c r="E44" s="429">
        <f>IF(KALKULATOR!E44=0,0,IF(ISNUMBER(SEARCH("ADSS",KALKULATOR!E44)),0,KALKULATOR!E44))</f>
        <v>0</v>
      </c>
      <c r="F44" s="429"/>
      <c r="G44" s="429">
        <f>IF($E44=0,0,IF(KALKULATOR!G44=0,0,KALKULATOR!G44))</f>
        <v>0</v>
      </c>
      <c r="H44" s="429">
        <f>IF($E44=0,0,IF(KALKULATOR!H44=0,0,KALKULATOR!H44))</f>
        <v>0</v>
      </c>
      <c r="I44" s="407" t="str">
        <f>IF(E44&gt;0,VLOOKUP(E44,PRZEWODY!$B$5:$R$62,M44,0),"")</f>
        <v/>
      </c>
      <c r="J44" s="391" t="str">
        <f>IF(E44&gt;0,VLOOKUP(E44,PRZEWODY!$B$5:$R$62,M44+1,0),"")</f>
        <v/>
      </c>
      <c r="K44" s="391">
        <f>IF(E44&gt;0,VLOOKUP(E44,PRZEWODY!$B$5:$R$62,M44-1,0),0)</f>
        <v>0</v>
      </c>
      <c r="L44" s="408">
        <f>IF(E44&gt;0,VLOOKUP(E44,PRZEWODY!$B$5:$R$62,17,0),0)</f>
        <v>0</v>
      </c>
      <c r="M44" s="106">
        <f>IF(H44&lt;36,3,IF(AND(H44&gt;35,H44&lt;41),6,IF(AND(H44&gt;40,H44&lt;46),9,IF(AND(H44&gt;45,H44&lt;51),12,15))))</f>
        <v>3</v>
      </c>
      <c r="O44" s="2"/>
    </row>
    <row r="45" spans="1:39" ht="21" customHeight="1">
      <c r="B45" s="102" t="s">
        <v>80</v>
      </c>
      <c r="C45" s="103" t="s">
        <v>81</v>
      </c>
      <c r="D45" s="104"/>
      <c r="E45" s="429">
        <f>IF(KALKULATOR!E45=0,0,IF(ISNUMBER(SEARCH("ADSS",KALKULATOR!E45)),0,KALKULATOR!E45))</f>
        <v>0</v>
      </c>
      <c r="F45" s="429"/>
      <c r="G45" s="429">
        <f>IF($E45=0,0,IF(KALKULATOR!G45=0,0,KALKULATOR!G45))</f>
        <v>0</v>
      </c>
      <c r="H45" s="429">
        <f>IF($E45=0,0,IF(KALKULATOR!H45=0,0,KALKULATOR!H45))</f>
        <v>0</v>
      </c>
      <c r="I45" s="391" t="str">
        <f>IF(E45&gt;0,VLOOKUP(E45,PRZEWODY!$B$5:$R$62,M45,0),"")</f>
        <v/>
      </c>
      <c r="J45" s="391" t="str">
        <f>IF(E45&gt;0,VLOOKUP(E45,PRZEWODY!$B$5:$R$62,M45+1,0),"")</f>
        <v/>
      </c>
      <c r="K45" s="392">
        <f>IF(E45&gt;0,VLOOKUP(E45,PRZEWODY!$B$5:$R$62,M45-1,0),0)</f>
        <v>0</v>
      </c>
      <c r="L45" s="408">
        <f>IF(E45&gt;0,VLOOKUP(E45,PRZEWODY!$B$5:$R$62,17,0),0)</f>
        <v>0</v>
      </c>
      <c r="M45" s="106">
        <f>IF(H45&lt;36,3,IF(AND(H45&gt;35,H45&lt;41),6,IF(AND(H45&gt;40,H45&lt;46),9,IF(AND(H45&gt;45,H45&lt;51),12,15))))</f>
        <v>3</v>
      </c>
      <c r="O45" s="108"/>
    </row>
    <row r="46" spans="1:39" ht="21" customHeight="1">
      <c r="B46" s="102" t="s">
        <v>83</v>
      </c>
      <c r="C46" s="109" t="s">
        <v>84</v>
      </c>
      <c r="D46" s="110"/>
      <c r="E46" s="429">
        <f>IF(KALKULATOR!E46=0,0,IF(ISNUMBER(SEARCH("ADSS",KALKULATOR!E46)),0,KALKULATOR!E46))</f>
        <v>0</v>
      </c>
      <c r="F46" s="429"/>
      <c r="G46" s="429">
        <f>IF($E46=0,0,IF(KALKULATOR!G46=0,0,KALKULATOR!G46))</f>
        <v>0</v>
      </c>
      <c r="H46" s="429">
        <f>IF($E46=0,0,IF(KALKULATOR!H46=0,0,KALKULATOR!H46))</f>
        <v>0</v>
      </c>
      <c r="I46" s="391" t="str">
        <f>IF(E46&gt;0,VLOOKUP(E46,PRZEWODY!$B$5:$R$62,M46,0),"")</f>
        <v/>
      </c>
      <c r="J46" s="391" t="str">
        <f>IF(E46&gt;0,VLOOKUP(E46,PRZEWODY!$B$5:$R$62,M46+1,0),"")</f>
        <v/>
      </c>
      <c r="K46" s="392">
        <f>IF(E46&gt;0,VLOOKUP(E46,PRZEWODY!$B$5:$R$62,M46-1,0),0)</f>
        <v>0</v>
      </c>
      <c r="L46" s="408">
        <f>IF(E46&gt;0,VLOOKUP(E46,PRZEWODY!$B$5:$R$62,17,0),0)</f>
        <v>0</v>
      </c>
      <c r="M46" s="106">
        <f>IF(H46&lt;36,3,IF(AND(H46&gt;35,H46&lt;41),6,IF(AND(H46&gt;40,H46&lt;46),9,IF(AND(H46&gt;45,H46&lt;51),12,15))))</f>
        <v>3</v>
      </c>
      <c r="O46" s="108"/>
    </row>
    <row r="47" spans="1:39" ht="21" customHeight="1">
      <c r="B47" s="102" t="s">
        <v>595</v>
      </c>
      <c r="C47" s="109" t="s">
        <v>99</v>
      </c>
      <c r="D47" s="110"/>
      <c r="E47" s="429">
        <f>IF(KALKULATOR!E47=0,0,IF(ISNUMBER(SEARCH("ADSS",KALKULATOR!E47)),0,KALKULATOR!E47))</f>
        <v>0</v>
      </c>
      <c r="F47" s="429"/>
      <c r="G47" s="429">
        <f>IF($E47=0,0,IF(KALKULATOR!G47=0,0,KALKULATOR!G47))</f>
        <v>0</v>
      </c>
      <c r="H47" s="429">
        <f>IF($E47=0,0,IF(KALKULATOR!H47=0,0,KALKULATOR!H47))</f>
        <v>0</v>
      </c>
      <c r="I47" s="391" t="str">
        <f>IF(E47&gt;0,VLOOKUP(E47,PRZEWODY!$B$5:$R$62,M47,0),"")</f>
        <v/>
      </c>
      <c r="J47" s="391" t="str">
        <f>IF(E47&gt;0,VLOOKUP(E47,PRZEWODY!$B$5:$R$62,M47+1,0),"")</f>
        <v/>
      </c>
      <c r="K47" s="392">
        <f>IF(E47&gt;0,VLOOKUP(E47,PRZEWODY!$B$5:$R$62,M47-1,0),0)</f>
        <v>0</v>
      </c>
      <c r="L47" s="408">
        <f>IF(E47&gt;0,VLOOKUP(E47,PRZEWODY!$B$5:$R$62,17,0),0)</f>
        <v>0</v>
      </c>
      <c r="M47" s="106">
        <f t="shared" ref="M47:M64" si="26">IF(H47&lt;36,3,IF(AND(H47&gt;35,H47&lt;41),6,IF(AND(H47&gt;40,H47&lt;46),9,IF(AND(H47&gt;45,H47&lt;51),12,15))))</f>
        <v>3</v>
      </c>
      <c r="O47" s="108"/>
    </row>
    <row r="48" spans="1:39" ht="21" customHeight="1">
      <c r="B48" s="102" t="s">
        <v>86</v>
      </c>
      <c r="C48" s="109" t="s">
        <v>87</v>
      </c>
      <c r="D48" s="110" t="s">
        <v>85</v>
      </c>
      <c r="E48" s="429">
        <f>IF(KALKULATOR!E48=0,0,IF(ISNUMBER(SEARCH("ADSS",KALKULATOR!E48)),0,KALKULATOR!E48))</f>
        <v>0</v>
      </c>
      <c r="F48" s="429"/>
      <c r="G48" s="429">
        <f>IF($E48=0,0,IF(KALKULATOR!G48=0,0,KALKULATOR!G48))</f>
        <v>0</v>
      </c>
      <c r="H48" s="429">
        <f>IF($E48=0,0,IF(KALKULATOR!H48=0,0,KALKULATOR!H48))</f>
        <v>0</v>
      </c>
      <c r="I48" s="407" t="str">
        <f>IF(E48&gt;0,VLOOKUP(E48,PRZEWODY!$B$5:$R$62,M48,0),"")</f>
        <v/>
      </c>
      <c r="J48" s="391" t="str">
        <f>IF(E48&gt;0,VLOOKUP(E48,PRZEWODY!$B$5:$R$62,M48+1,0),"")</f>
        <v/>
      </c>
      <c r="K48" s="392">
        <f>IF(E48&gt;0,VLOOKUP(E48,PRZEWODY!$B$5:$R$62,M48-1,0),0)</f>
        <v>0</v>
      </c>
      <c r="L48" s="408">
        <f>IF(E48&gt;0,VLOOKUP(E48,PRZEWODY!$B$5:$R$62,17,0),0)</f>
        <v>0</v>
      </c>
      <c r="M48" s="106">
        <f t="shared" si="26"/>
        <v>3</v>
      </c>
      <c r="O48" s="87"/>
    </row>
    <row r="49" spans="2:15" ht="21" customHeight="1">
      <c r="B49" s="112" t="s">
        <v>89</v>
      </c>
      <c r="C49" s="109" t="s">
        <v>90</v>
      </c>
      <c r="D49" s="110" t="s">
        <v>85</v>
      </c>
      <c r="E49" s="429">
        <f>IF(KALKULATOR!E49=0,0,IF(ISNUMBER(SEARCH("ADSS",KALKULATOR!E49)),0,KALKULATOR!E49))</f>
        <v>0</v>
      </c>
      <c r="F49" s="429"/>
      <c r="G49" s="429">
        <f>IF($E49=0,0,IF(KALKULATOR!G49=0,0,KALKULATOR!G49))</f>
        <v>0</v>
      </c>
      <c r="H49" s="429">
        <f>IF($E49=0,0,IF(KALKULATOR!H49=0,0,KALKULATOR!H49))</f>
        <v>0</v>
      </c>
      <c r="I49" s="391" t="str">
        <f>IF(E49&gt;0,VLOOKUP(E49,PRZEWODY!$B$5:$R$62,M49,0),"")</f>
        <v/>
      </c>
      <c r="J49" s="391" t="str">
        <f>IF(E49&gt;0,VLOOKUP(E49,PRZEWODY!$B$5:$R$62,M49+1,0),"")</f>
        <v/>
      </c>
      <c r="K49" s="392">
        <f>IF(E49&gt;0,VLOOKUP(E49,PRZEWODY!$B$5:$R$62,M49-1,0),0)</f>
        <v>0</v>
      </c>
      <c r="L49" s="408">
        <f>IF(E49&gt;0,VLOOKUP(E49,PRZEWODY!$B$5:$R$62,17,0),0)</f>
        <v>0</v>
      </c>
      <c r="M49" s="106">
        <f t="shared" si="26"/>
        <v>3</v>
      </c>
      <c r="O49" s="87"/>
    </row>
    <row r="50" spans="2:15" ht="21" customHeight="1">
      <c r="B50" s="112" t="s">
        <v>91</v>
      </c>
      <c r="C50" s="109" t="s">
        <v>92</v>
      </c>
      <c r="D50" s="110" t="s">
        <v>85</v>
      </c>
      <c r="E50" s="429">
        <f>IF(KALKULATOR!E50=0,0,IF(ISNUMBER(SEARCH("ADSS",KALKULATOR!E50)),0,KALKULATOR!E50))</f>
        <v>0</v>
      </c>
      <c r="F50" s="429"/>
      <c r="G50" s="429">
        <f>IF($E50=0,0,IF(KALKULATOR!G50=0,0,KALKULATOR!G50))</f>
        <v>0</v>
      </c>
      <c r="H50" s="429">
        <f>IF($E50=0,0,IF(KALKULATOR!H50=0,0,KALKULATOR!H50))</f>
        <v>0</v>
      </c>
      <c r="I50" s="391" t="str">
        <f>IF(E50&gt;0,VLOOKUP(E50,PRZEWODY!$B$5:$R$62,M50,0),"")</f>
        <v/>
      </c>
      <c r="J50" s="391" t="str">
        <f>IF(E50&gt;0,VLOOKUP(E50,PRZEWODY!$B$5:$R$62,M50+1,0),"")</f>
        <v/>
      </c>
      <c r="K50" s="392">
        <f>IF(E50&gt;0,VLOOKUP(E50,PRZEWODY!$B$5:$R$62,M50-1,0),0)</f>
        <v>0</v>
      </c>
      <c r="L50" s="408">
        <f>IF(E50&gt;0,VLOOKUP(E50,PRZEWODY!$B$5:$R$62,17,0),0)</f>
        <v>0</v>
      </c>
      <c r="M50" s="106">
        <f t="shared" si="26"/>
        <v>3</v>
      </c>
      <c r="O50" s="87"/>
    </row>
    <row r="51" spans="2:15" ht="21" customHeight="1" thickBot="1">
      <c r="B51" s="112" t="s">
        <v>93</v>
      </c>
      <c r="C51" s="109" t="s">
        <v>94</v>
      </c>
      <c r="D51" s="110" t="s">
        <v>85</v>
      </c>
      <c r="E51" s="429">
        <f>IF(KALKULATOR!E51=0,0,IF(ISNUMBER(SEARCH("ADSS",KALKULATOR!E51)),0,KALKULATOR!E51))</f>
        <v>0</v>
      </c>
      <c r="F51" s="429"/>
      <c r="G51" s="429">
        <f>IF($E51=0,0,IF(KALKULATOR!G51=0,0,KALKULATOR!G51))</f>
        <v>0</v>
      </c>
      <c r="H51" s="429">
        <f>IF($E51=0,0,IF(KALKULATOR!H51=0,0,KALKULATOR!H51))</f>
        <v>0</v>
      </c>
      <c r="I51" s="396" t="str">
        <f>IF(E51&gt;0,VLOOKUP(E51,PRZEWODY!$B$5:$R$62,M51,0),"")</f>
        <v/>
      </c>
      <c r="J51" s="396" t="str">
        <f>IF(E51&gt;0,VLOOKUP(E51,PRZEWODY!$B$5:$R$62,M51+1,0),"")</f>
        <v/>
      </c>
      <c r="K51" s="396">
        <f>IF(E51&gt;0,VLOOKUP(E51,PRZEWODY!$B$5:$R$62,M51-1,0),0)</f>
        <v>0</v>
      </c>
      <c r="L51" s="412">
        <f>IF(E51&gt;0,VLOOKUP(E51,PRZEWODY!$B$5:$R$62,17,0),0)</f>
        <v>0</v>
      </c>
      <c r="M51" s="106">
        <f t="shared" si="26"/>
        <v>3</v>
      </c>
    </row>
    <row r="52" spans="2:15" ht="21" customHeight="1">
      <c r="B52" s="114" t="s">
        <v>95</v>
      </c>
      <c r="C52" s="115" t="s">
        <v>78</v>
      </c>
      <c r="D52" s="116"/>
      <c r="E52" s="429">
        <f>IF(KALKULATOR!E52=0,0,IF(ISNUMBER(SEARCH("ADSS",KALKULATOR!E52)),0,KALKULATOR!E52))</f>
        <v>0</v>
      </c>
      <c r="F52" s="429"/>
      <c r="G52" s="429">
        <f>IF($E52=0,0,IF(KALKULATOR!G52=0,0,KALKULATOR!G52))</f>
        <v>0</v>
      </c>
      <c r="H52" s="429">
        <f>IF($E52=0,0,IF(KALKULATOR!H52=0,0,KALKULATOR!H52))</f>
        <v>0</v>
      </c>
      <c r="I52" s="413" t="str">
        <f>IF(E52&gt;0,VLOOKUP(E52,PRZEWODY!$B$5:$R$62,M52,0),"")</f>
        <v/>
      </c>
      <c r="J52" s="394" t="str">
        <f>IF(E52&gt;0,VLOOKUP(E52,PRZEWODY!$B$5:$R$62,M52+1,0),"")</f>
        <v/>
      </c>
      <c r="K52" s="394">
        <f>IF(E52&gt;0,VLOOKUP(E52,PRZEWODY!$B$5:$R$62,M52-1,0),0)</f>
        <v>0</v>
      </c>
      <c r="L52" s="414">
        <f>IF(E52&gt;0,VLOOKUP(E52,PRZEWODY!$B$5:$R$62,17,0),0)</f>
        <v>0</v>
      </c>
      <c r="M52" s="106">
        <f t="shared" si="26"/>
        <v>3</v>
      </c>
    </row>
    <row r="53" spans="2:15" ht="21" customHeight="1">
      <c r="B53" s="102" t="s">
        <v>96</v>
      </c>
      <c r="C53" s="103" t="s">
        <v>81</v>
      </c>
      <c r="D53" s="104"/>
      <c r="E53" s="429">
        <f>IF(KALKULATOR!E53=0,0,IF(ISNUMBER(SEARCH("ADSS",KALKULATOR!E53)),0,KALKULATOR!E53))</f>
        <v>0</v>
      </c>
      <c r="F53" s="429"/>
      <c r="G53" s="429">
        <f>IF($E53=0,0,IF(KALKULATOR!G53=0,0,KALKULATOR!G53))</f>
        <v>0</v>
      </c>
      <c r="H53" s="429">
        <f>IF($E53=0,0,IF(KALKULATOR!H53=0,0,KALKULATOR!H53))</f>
        <v>0</v>
      </c>
      <c r="I53" s="391" t="str">
        <f>IF(E53&gt;0,VLOOKUP(E53,PRZEWODY!$B$5:$R$62,M53,0),"")</f>
        <v/>
      </c>
      <c r="J53" s="391" t="str">
        <f>IF(E53&gt;0,VLOOKUP(E53,PRZEWODY!$B$5:$R$62,M53+1,0),"")</f>
        <v/>
      </c>
      <c r="K53" s="392">
        <f>IF(E53&gt;0,VLOOKUP(E53,PRZEWODY!$B$5:$R$62,M53-1,0),0)</f>
        <v>0</v>
      </c>
      <c r="L53" s="408">
        <f>IF(E53&gt;0,VLOOKUP(E53,PRZEWODY!$B$5:$R$62,17,0),0)</f>
        <v>0</v>
      </c>
      <c r="M53" s="106">
        <f t="shared" si="26"/>
        <v>3</v>
      </c>
    </row>
    <row r="54" spans="2:15" ht="21" customHeight="1">
      <c r="B54" s="102" t="s">
        <v>97</v>
      </c>
      <c r="C54" s="109" t="s">
        <v>84</v>
      </c>
      <c r="D54" s="110"/>
      <c r="E54" s="429">
        <f>IF(KALKULATOR!E54=0,0,IF(ISNUMBER(SEARCH("ADSS",KALKULATOR!E54)),0,KALKULATOR!E54))</f>
        <v>0</v>
      </c>
      <c r="F54" s="429"/>
      <c r="G54" s="429">
        <f>IF($E54=0,0,IF(KALKULATOR!G54=0,0,KALKULATOR!G54))</f>
        <v>0</v>
      </c>
      <c r="H54" s="429">
        <f>IF($E54=0,0,IF(KALKULATOR!H54=0,0,KALKULATOR!H54))</f>
        <v>0</v>
      </c>
      <c r="I54" s="391" t="str">
        <f>IF(E54&gt;0,VLOOKUP(E54,PRZEWODY!$B$5:$R$62,M54,0),"")</f>
        <v/>
      </c>
      <c r="J54" s="391" t="str">
        <f>IF(E54&gt;0,VLOOKUP(E54,PRZEWODY!$B$5:$R$62,M54+1,0),"")</f>
        <v/>
      </c>
      <c r="K54" s="392">
        <f>IF(E54&gt;0,VLOOKUP(E54,PRZEWODY!$B$5:$R$62,M54-1,0),0)</f>
        <v>0</v>
      </c>
      <c r="L54" s="408">
        <f>IF(E54&gt;0,VLOOKUP(E54,PRZEWODY!$B$5:$R$62,17,0),0)</f>
        <v>0</v>
      </c>
      <c r="M54" s="106">
        <f t="shared" si="26"/>
        <v>3</v>
      </c>
    </row>
    <row r="55" spans="2:15" ht="21" customHeight="1">
      <c r="B55" s="102" t="s">
        <v>98</v>
      </c>
      <c r="C55" s="109" t="s">
        <v>99</v>
      </c>
      <c r="D55" s="110"/>
      <c r="E55" s="429">
        <f>IF(KALKULATOR!E55=0,0,IF(ISNUMBER(SEARCH("ADSS",KALKULATOR!E55)),0,KALKULATOR!E55))</f>
        <v>0</v>
      </c>
      <c r="F55" s="429"/>
      <c r="G55" s="429">
        <f>IF($E55=0,0,IF(KALKULATOR!G55=0,0,KALKULATOR!G55))</f>
        <v>0</v>
      </c>
      <c r="H55" s="429">
        <f>IF($E55=0,0,IF(KALKULATOR!H55=0,0,KALKULATOR!H55))</f>
        <v>0</v>
      </c>
      <c r="I55" s="391" t="str">
        <f>IF(E55&gt;0,VLOOKUP(E55,PRZEWODY!$B$5:$R$62,M55,0),"")</f>
        <v/>
      </c>
      <c r="J55" s="391" t="str">
        <f>IF(E55&gt;0,VLOOKUP(E55,PRZEWODY!$B$5:$R$62,M55+1,0),"")</f>
        <v/>
      </c>
      <c r="K55" s="392">
        <f>IF(E55&gt;0,VLOOKUP(E55,PRZEWODY!$B$5:$R$62,M55-1,0),0)</f>
        <v>0</v>
      </c>
      <c r="L55" s="408">
        <f>IF(E55&gt;0,VLOOKUP(E55,PRZEWODY!$B$5:$R$62,17,0),0)</f>
        <v>0</v>
      </c>
      <c r="M55" s="106">
        <f t="shared" si="26"/>
        <v>3</v>
      </c>
    </row>
    <row r="56" spans="2:15" ht="21" customHeight="1">
      <c r="B56" s="102" t="s">
        <v>100</v>
      </c>
      <c r="C56" s="109" t="s">
        <v>87</v>
      </c>
      <c r="D56" s="110" t="s">
        <v>85</v>
      </c>
      <c r="E56" s="429">
        <f>IF(KALKULATOR!E56=0,0,IF(ISNUMBER(SEARCH("ADSS",KALKULATOR!E56)),0,KALKULATOR!E56))</f>
        <v>0</v>
      </c>
      <c r="F56" s="429"/>
      <c r="G56" s="429">
        <f>IF($E56=0,0,IF(KALKULATOR!G56=0,0,KALKULATOR!G56))</f>
        <v>0</v>
      </c>
      <c r="H56" s="429">
        <f>IF($E56=0,0,IF(KALKULATOR!H56=0,0,KALKULATOR!H56))</f>
        <v>0</v>
      </c>
      <c r="I56" s="407" t="str">
        <f>IF(E56&gt;0,VLOOKUP(E56,PRZEWODY!$B$5:$R$62,M56,0),"")</f>
        <v/>
      </c>
      <c r="J56" s="391" t="str">
        <f>IF(E56&gt;0,VLOOKUP(E56,PRZEWODY!$B$5:$R$62,M56+1,0),"")</f>
        <v/>
      </c>
      <c r="K56" s="392">
        <f>IF(E56&gt;0,VLOOKUP(E56,PRZEWODY!$B$5:$R$62,M56-1,0),0)</f>
        <v>0</v>
      </c>
      <c r="L56" s="408">
        <f>IF(E56&gt;0,VLOOKUP(E56,PRZEWODY!$B$5:$R$62,17,0),0)</f>
        <v>0</v>
      </c>
      <c r="M56" s="106">
        <f t="shared" si="26"/>
        <v>3</v>
      </c>
    </row>
    <row r="57" spans="2:15" ht="21" customHeight="1">
      <c r="B57" s="102" t="s">
        <v>101</v>
      </c>
      <c r="C57" s="103" t="s">
        <v>90</v>
      </c>
      <c r="D57" s="104" t="s">
        <v>85</v>
      </c>
      <c r="E57" s="429">
        <f>IF(KALKULATOR!E57=0,0,IF(ISNUMBER(SEARCH("ADSS",KALKULATOR!E57)),0,KALKULATOR!E57))</f>
        <v>0</v>
      </c>
      <c r="F57" s="429"/>
      <c r="G57" s="429">
        <f>IF($E57=0,0,IF(KALKULATOR!G57=0,0,KALKULATOR!G57))</f>
        <v>0</v>
      </c>
      <c r="H57" s="429">
        <f>IF($E57=0,0,IF(KALKULATOR!H57=0,0,KALKULATOR!H57))</f>
        <v>0</v>
      </c>
      <c r="I57" s="391" t="str">
        <f>IF(E57&gt;0,VLOOKUP(E57,PRZEWODY!$B$5:$R$62,M57,0),"")</f>
        <v/>
      </c>
      <c r="J57" s="391" t="str">
        <f>IF(E57&gt;0,VLOOKUP(E57,PRZEWODY!$B$5:$R$62,M57+1,0),"")</f>
        <v/>
      </c>
      <c r="K57" s="392">
        <f>IF(E57&gt;0,VLOOKUP(E57,PRZEWODY!$B$5:$R$62,M57-1,0),0)</f>
        <v>0</v>
      </c>
      <c r="L57" s="408">
        <f>IF(E57&gt;0,VLOOKUP(E57,PRZEWODY!$B$5:$R$62,17,0),0)</f>
        <v>0</v>
      </c>
      <c r="M57" s="106">
        <f t="shared" si="26"/>
        <v>3</v>
      </c>
    </row>
    <row r="58" spans="2:15" ht="21" customHeight="1">
      <c r="B58" s="112" t="s">
        <v>102</v>
      </c>
      <c r="C58" s="117" t="s">
        <v>92</v>
      </c>
      <c r="D58" s="118" t="s">
        <v>85</v>
      </c>
      <c r="E58" s="429">
        <f>IF(KALKULATOR!E58=0,0,IF(ISNUMBER(SEARCH("ADSS",KALKULATOR!E58)),0,KALKULATOR!E58))</f>
        <v>0</v>
      </c>
      <c r="F58" s="429"/>
      <c r="G58" s="429">
        <f>IF($E58=0,0,IF(KALKULATOR!G58=0,0,KALKULATOR!G58))</f>
        <v>0</v>
      </c>
      <c r="H58" s="429">
        <f>IF($E58=0,0,IF(KALKULATOR!H58=0,0,KALKULATOR!H58))</f>
        <v>0</v>
      </c>
      <c r="I58" s="391" t="str">
        <f>IF(E58&gt;0,VLOOKUP(E58,PRZEWODY!$B$5:$R$62,M58,0),"")</f>
        <v/>
      </c>
      <c r="J58" s="391" t="str">
        <f>IF(E58&gt;0,VLOOKUP(E58,PRZEWODY!$B$5:$R$62,M58+1,0),"")</f>
        <v/>
      </c>
      <c r="K58" s="392">
        <f>IF(E58&gt;0,VLOOKUP(E58,PRZEWODY!$B$5:$R$62,M58-1,0),0)</f>
        <v>0</v>
      </c>
      <c r="L58" s="408">
        <f>IF(E58&gt;0,VLOOKUP(E58,PRZEWODY!$B$5:$R$62,17,0),0)</f>
        <v>0</v>
      </c>
      <c r="M58" s="106">
        <f t="shared" si="26"/>
        <v>3</v>
      </c>
    </row>
    <row r="59" spans="2:15" ht="21" customHeight="1" thickBot="1">
      <c r="B59" s="119" t="s">
        <v>103</v>
      </c>
      <c r="C59" s="120" t="s">
        <v>94</v>
      </c>
      <c r="D59" s="121" t="s">
        <v>85</v>
      </c>
      <c r="E59" s="429">
        <f>IF(KALKULATOR!E59=0,0,IF(ISNUMBER(SEARCH("ADSS",KALKULATOR!E59)),0,KALKULATOR!E59))</f>
        <v>0</v>
      </c>
      <c r="F59" s="429"/>
      <c r="G59" s="429">
        <f>IF($E59=0,0,IF(KALKULATOR!G59=0,0,KALKULATOR!G59))</f>
        <v>0</v>
      </c>
      <c r="H59" s="429">
        <f>IF($E59=0,0,IF(KALKULATOR!H59=0,0,KALKULATOR!H59))</f>
        <v>0</v>
      </c>
      <c r="I59" s="398" t="str">
        <f>IF(E59&gt;0,VLOOKUP(E59,PRZEWODY!$B$5:$R$62,M59,0),"")</f>
        <v/>
      </c>
      <c r="J59" s="398" t="str">
        <f>IF(E59&gt;0,VLOOKUP(E59,PRZEWODY!$B$5:$R$62,M59+1,0),"")</f>
        <v/>
      </c>
      <c r="K59" s="398">
        <f>IF(E59&gt;0,VLOOKUP(E59,PRZEWODY!$B$5:$R$62,M59-1,0),0)</f>
        <v>0</v>
      </c>
      <c r="L59" s="417">
        <f>IF(E59&gt;0,VLOOKUP(E59,PRZEWODY!$B$5:$R$62,17,0),0)</f>
        <v>0</v>
      </c>
      <c r="M59" s="106">
        <f t="shared" si="26"/>
        <v>3</v>
      </c>
    </row>
    <row r="60" spans="2:15" ht="21" customHeight="1" outlineLevel="1">
      <c r="B60" s="122" t="s">
        <v>28</v>
      </c>
      <c r="C60" s="123" t="s">
        <v>104</v>
      </c>
      <c r="D60" s="124"/>
      <c r="E60" s="429">
        <f>IF(KALKULATOR!E60=0,0,IF(ISNUMBER(SEARCH("ADSS",KALKULATOR!E60)),0,KALKULATOR!E60))</f>
        <v>0</v>
      </c>
      <c r="F60" s="429"/>
      <c r="G60" s="429">
        <f>IF($E60=0,0,IF(KALKULATOR!G60=0,0,KALKULATOR!G60))</f>
        <v>0</v>
      </c>
      <c r="H60" s="429">
        <f>IF($E60=0,0,IF(KALKULATOR!H60=0,0,KALKULATOR!H60))</f>
        <v>0</v>
      </c>
      <c r="I60" s="418" t="str">
        <f>IF(E60&gt;0,VLOOKUP(E60,PRZEWODY!$B$5:$R$62,M60,0),"")</f>
        <v/>
      </c>
      <c r="J60" s="418" t="str">
        <f>IF(E60&gt;0,VLOOKUP(E60,PRZEWODY!$B$5:$R$62,M60+1,0),"")</f>
        <v/>
      </c>
      <c r="K60" s="418">
        <f>IF(E60&gt;0,VLOOKUP(E60,PRZEWODY!$B$5:$R$62,M60-1,0),0)</f>
        <v>0</v>
      </c>
      <c r="L60" s="419">
        <f>IF(E60&gt;0,VLOOKUP(E60,PRZEWODY!$B$5:$R$62,17,0),0)</f>
        <v>0</v>
      </c>
      <c r="M60" s="106">
        <f t="shared" si="26"/>
        <v>3</v>
      </c>
    </row>
    <row r="61" spans="2:15" ht="21" customHeight="1" outlineLevel="1">
      <c r="B61" s="127" t="s">
        <v>29</v>
      </c>
      <c r="C61" s="128" t="s">
        <v>105</v>
      </c>
      <c r="D61" s="129"/>
      <c r="E61" s="429">
        <f>IF(KALKULATOR!E61=0,0,IF(ISNUMBER(SEARCH("ADSS",KALKULATOR!E61)),0,KALKULATOR!E61))</f>
        <v>0</v>
      </c>
      <c r="F61" s="429"/>
      <c r="G61" s="429">
        <f>IF($E61=0,0,IF(KALKULATOR!G61=0,0,KALKULATOR!G61))</f>
        <v>0</v>
      </c>
      <c r="H61" s="429">
        <f>IF($E61=0,0,IF(KALKULATOR!H61=0,0,KALKULATOR!H61))</f>
        <v>0</v>
      </c>
      <c r="I61" s="401" t="str">
        <f>IF(E61&gt;0,VLOOKUP(E61,PRZEWODY!$B$5:$R$62,M61,0),"")</f>
        <v/>
      </c>
      <c r="J61" s="420" t="str">
        <f>IF(E61&gt;0,VLOOKUP(E61,PRZEWODY!$B$5:$R$62,M61+1,0),"")</f>
        <v/>
      </c>
      <c r="K61" s="401">
        <f>IF(E61&gt;0,VLOOKUP(E61,PRZEWODY!$B$5:$R$62,M61-1,0),0)</f>
        <v>0</v>
      </c>
      <c r="L61" s="421">
        <f>IF(E61&gt;0,VLOOKUP(E61,PRZEWODY!$B$5:$R$62,17,0),0)</f>
        <v>0</v>
      </c>
      <c r="M61" s="106">
        <f t="shared" si="26"/>
        <v>3</v>
      </c>
    </row>
    <row r="62" spans="2:15" ht="21" customHeight="1" outlineLevel="1">
      <c r="B62" s="127" t="s">
        <v>30</v>
      </c>
      <c r="C62" s="132" t="s">
        <v>106</v>
      </c>
      <c r="D62" s="129"/>
      <c r="E62" s="429">
        <f>IF(KALKULATOR!E62=0,0,IF(ISNUMBER(SEARCH("ADSS",KALKULATOR!E62)),0,KALKULATOR!E62))</f>
        <v>0</v>
      </c>
      <c r="F62" s="429"/>
      <c r="G62" s="429">
        <f>IF($E62=0,0,IF(KALKULATOR!G62=0,0,KALKULATOR!G62))</f>
        <v>0</v>
      </c>
      <c r="H62" s="429">
        <f>IF($E62=0,0,IF(KALKULATOR!H62=0,0,KALKULATOR!H62))</f>
        <v>0</v>
      </c>
      <c r="I62" s="401" t="str">
        <f>IF(E62&gt;0,VLOOKUP(E62,PRZEWODY!$B$5:$R$62,M62,0),"")</f>
        <v/>
      </c>
      <c r="J62" s="420" t="str">
        <f>IF(E62&gt;0,VLOOKUP(E62,PRZEWODY!$B$5:$R$62,M62+1,0),"")</f>
        <v/>
      </c>
      <c r="K62" s="401">
        <f>IF(E62&gt;0,VLOOKUP(E62,PRZEWODY!$B$5:$R$62,M62-1,0),0)</f>
        <v>0</v>
      </c>
      <c r="L62" s="421">
        <f>IF(E62&gt;0,VLOOKUP(E62,PRZEWODY!$B$5:$R$62,17,0),0)</f>
        <v>0</v>
      </c>
      <c r="M62" s="106">
        <f t="shared" si="26"/>
        <v>3</v>
      </c>
    </row>
    <row r="63" spans="2:15" ht="21" customHeight="1" outlineLevel="1">
      <c r="B63" s="133" t="s">
        <v>31</v>
      </c>
      <c r="C63" s="128" t="s">
        <v>107</v>
      </c>
      <c r="D63" s="134" t="s">
        <v>85</v>
      </c>
      <c r="E63" s="429">
        <f>IF(KALKULATOR!E63=0,0,IF(ISNUMBER(SEARCH("ADSS",KALKULATOR!E63)),0,KALKULATOR!E63))</f>
        <v>0</v>
      </c>
      <c r="F63" s="429"/>
      <c r="G63" s="429">
        <f>IF($E63=0,0,IF(KALKULATOR!G63=0,0,KALKULATOR!G63))</f>
        <v>0</v>
      </c>
      <c r="H63" s="429">
        <f>IF($E63=0,0,IF(KALKULATOR!H63=0,0,KALKULATOR!H63))</f>
        <v>0</v>
      </c>
      <c r="I63" s="401" t="str">
        <f>IF(E63&gt;0,VLOOKUP(E63,PRZEWODY!$B$5:$R$62,M63,0),"")</f>
        <v/>
      </c>
      <c r="J63" s="420" t="str">
        <f>IF(E63&gt;0,VLOOKUP(E63,PRZEWODY!$B$5:$R$62,M63+1,0),"")</f>
        <v/>
      </c>
      <c r="K63" s="401">
        <f>IF(E63&gt;0,VLOOKUP(E63,PRZEWODY!$B$5:$R$62,M63-1,0),0)</f>
        <v>0</v>
      </c>
      <c r="L63" s="421">
        <f>IF(E63&gt;0,VLOOKUP(E63,PRZEWODY!$B$5:$R$62,17,0),0)</f>
        <v>0</v>
      </c>
      <c r="M63" s="106">
        <f t="shared" si="26"/>
        <v>3</v>
      </c>
    </row>
    <row r="64" spans="2:15" ht="21" customHeight="1" outlineLevel="1" thickBot="1">
      <c r="B64" s="135" t="s">
        <v>32</v>
      </c>
      <c r="C64" s="136" t="s">
        <v>108</v>
      </c>
      <c r="D64" s="137"/>
      <c r="E64" s="429">
        <f>IF(KALKULATOR!E64=0,0,IF(ISNUMBER(SEARCH("ADSS",KALKULATOR!E64)),0,KALKULATOR!E64))</f>
        <v>0</v>
      </c>
      <c r="F64" s="429"/>
      <c r="G64" s="429">
        <f>IF($E64=0,0,IF(KALKULATOR!G64=0,0,KALKULATOR!G64))</f>
        <v>0</v>
      </c>
      <c r="H64" s="429">
        <f>IF($E64=0,0,IF(KALKULATOR!H64=0,0,KALKULATOR!H64))</f>
        <v>0</v>
      </c>
      <c r="I64" s="403" t="str">
        <f>IF(E64&gt;0,VLOOKUP(E64,PRZEWODY!$B$5:$R$62,M64,0),"")</f>
        <v/>
      </c>
      <c r="J64" s="403" t="str">
        <f>IF(E64&gt;0,VLOOKUP(E64,PRZEWODY!$B$5:$R$62,M64+1,0),"")</f>
        <v/>
      </c>
      <c r="K64" s="403">
        <f>IF(E64&gt;0,VLOOKUP(E64,PRZEWODY!$B$5:$R$62,M64-1,0),0)</f>
        <v>0</v>
      </c>
      <c r="L64" s="424">
        <f>IF(E64&gt;0,VLOOKUP(E64,PRZEWODY!$B$5:$R$62,17,0),0)</f>
        <v>0</v>
      </c>
      <c r="M64" s="106">
        <f t="shared" si="26"/>
        <v>3</v>
      </c>
      <c r="O64" s="2"/>
    </row>
    <row r="65" spans="2:15" ht="21" customHeight="1">
      <c r="B65" s="138" t="s">
        <v>33</v>
      </c>
      <c r="C65" s="139" t="s">
        <v>109</v>
      </c>
      <c r="D65" s="140"/>
      <c r="E65" s="429">
        <f>IF(KALKULATOR!E65=0,0,IF(ISNUMBER(SEARCH("ADSS",KALKULATOR!E65)),0,KALKULATOR!E65))</f>
        <v>0</v>
      </c>
      <c r="F65" s="429"/>
      <c r="G65" s="429">
        <f>IF($E65=0,0,IF(KALKULATOR!G65=0,0,KALKULATOR!G65))</f>
        <v>0</v>
      </c>
      <c r="H65" s="429">
        <f>IF($E65=0,0,IF(KALKULATOR!H65=0,0,KALKULATOR!H65))</f>
        <v>0</v>
      </c>
      <c r="I65" s="406" t="str">
        <f>IF(E65&gt;0,VLOOKUP(E65,PRZEWODY!$B$69:$Z$140,M65,0),"")</f>
        <v/>
      </c>
      <c r="J65" s="405" t="str">
        <f>IF(E65&gt;0,VLOOKUP(E65,PRZEWODY!$B$69:$Z$140,M65+1,0),"")</f>
        <v/>
      </c>
      <c r="K65" s="406">
        <f>IF(E65&gt;0,VLOOKUP(E65,PRZEWODY!$B$69:$Z$140,M65-1,0),0)</f>
        <v>0</v>
      </c>
      <c r="L65" s="425" t="str">
        <f>IF(E65&gt;0,VLOOKUP(E65,PRZEWODY!$B$69:$AA$140,26,0),"")</f>
        <v/>
      </c>
      <c r="M65" s="106">
        <f t="shared" ref="M65:M75" si="27">IF(H65&lt;11,3,IF(AND(H65&gt;10,H65&lt;16),6,IF(AND(H65&gt;15,H65&lt;21),9,IF(AND(H65&gt;20,H65&lt;26),12,IF(AND(H65&gt;25,H65&lt;31),15,IF(AND(H65&gt;30,H65&lt;36),18,IF(AND(H65&gt;35,H65&lt;41),21,IF(H65&gt;40,24))))))))</f>
        <v>3</v>
      </c>
    </row>
    <row r="66" spans="2:15" ht="21" customHeight="1">
      <c r="B66" s="141" t="s">
        <v>34</v>
      </c>
      <c r="C66" s="142" t="s">
        <v>110</v>
      </c>
      <c r="D66" s="143"/>
      <c r="E66" s="429">
        <f>IF(KALKULATOR!E66=0,0,IF(ISNUMBER(SEARCH("ADSS",KALKULATOR!E66)),0,KALKULATOR!E66))</f>
        <v>0</v>
      </c>
      <c r="F66" s="429"/>
      <c r="G66" s="429">
        <f>IF($E66=0,0,IF(KALKULATOR!G66=0,0,KALKULATOR!G66))</f>
        <v>0</v>
      </c>
      <c r="H66" s="429">
        <f>IF($E66=0,0,IF(KALKULATOR!H66=0,0,KALKULATOR!H66))</f>
        <v>0</v>
      </c>
      <c r="I66" s="406" t="str">
        <f>IF(E66&gt;0,VLOOKUP(E66,PRZEWODY!$B$69:$Z$140,M66,0),"")</f>
        <v/>
      </c>
      <c r="J66" s="405" t="str">
        <f>IF(E66&gt;0,VLOOKUP(E66,PRZEWODY!$B$69:$Z$140,M66+1,0),"")</f>
        <v/>
      </c>
      <c r="K66" s="406">
        <f>IF(E66&gt;0,VLOOKUP(E66,PRZEWODY!$B$69:$Z$140,M66-1,0),0)</f>
        <v>0</v>
      </c>
      <c r="L66" s="425" t="str">
        <f>IF(E66&gt;0,VLOOKUP(E66,PRZEWODY!$B$69:$AA$140,26,0),"")</f>
        <v/>
      </c>
      <c r="M66" s="106">
        <f t="shared" si="27"/>
        <v>3</v>
      </c>
    </row>
    <row r="67" spans="2:15" ht="21" customHeight="1">
      <c r="B67" s="141" t="s">
        <v>35</v>
      </c>
      <c r="C67" s="142" t="s">
        <v>112</v>
      </c>
      <c r="D67" s="143"/>
      <c r="E67" s="429">
        <f>IF(KALKULATOR!E67=0,0,IF(ISNUMBER(SEARCH("ADSS",KALKULATOR!E67)),0,KALKULATOR!E67))</f>
        <v>0</v>
      </c>
      <c r="F67" s="429"/>
      <c r="G67" s="429">
        <f>IF($E67=0,0,IF(KALKULATOR!G67=0,0,KALKULATOR!G67))</f>
        <v>0</v>
      </c>
      <c r="H67" s="429">
        <f>IF($E67=0,0,IF(KALKULATOR!H67=0,0,KALKULATOR!H67))</f>
        <v>0</v>
      </c>
      <c r="I67" s="406" t="str">
        <f>IF(E67&gt;0,VLOOKUP(E67,PRZEWODY!$B$69:$Z$140,M67,0),"")</f>
        <v/>
      </c>
      <c r="J67" s="405" t="str">
        <f>IF(E67&gt;0,VLOOKUP(E67,PRZEWODY!$B$69:$Z$140,M67+1,0),"")</f>
        <v/>
      </c>
      <c r="K67" s="406">
        <f>IF(E67&gt;0,VLOOKUP(E67,PRZEWODY!$B$69:$Z$140,M67-1,0),0)</f>
        <v>0</v>
      </c>
      <c r="L67" s="425" t="str">
        <f>IF(E67&gt;0,VLOOKUP(E67,PRZEWODY!$B$69:$AA$140,26,0),"")</f>
        <v/>
      </c>
      <c r="M67" s="106">
        <f t="shared" si="27"/>
        <v>3</v>
      </c>
    </row>
    <row r="68" spans="2:15" ht="21" customHeight="1">
      <c r="B68" s="141" t="s">
        <v>36</v>
      </c>
      <c r="C68" s="142" t="s">
        <v>113</v>
      </c>
      <c r="D68" s="143"/>
      <c r="E68" s="429">
        <f>IF(KALKULATOR!E68=0,0,IF(ISNUMBER(SEARCH("ADSS",KALKULATOR!E68)),0,KALKULATOR!E68))</f>
        <v>0</v>
      </c>
      <c r="F68" s="429"/>
      <c r="G68" s="429">
        <f>IF($E68=0,0,IF(KALKULATOR!G68=0,0,KALKULATOR!G68))</f>
        <v>0</v>
      </c>
      <c r="H68" s="429">
        <f>IF($E68=0,0,IF(KALKULATOR!H68=0,0,KALKULATOR!H68))</f>
        <v>0</v>
      </c>
      <c r="I68" s="406" t="str">
        <f>IF(E68&gt;0,VLOOKUP(E68,PRZEWODY!$B$69:$Z$140,M68,0),"")</f>
        <v/>
      </c>
      <c r="J68" s="405" t="str">
        <f>IF(E68&gt;0,VLOOKUP(E68,PRZEWODY!$B$69:$Z$140,M68+1,0),"")</f>
        <v/>
      </c>
      <c r="K68" s="406">
        <f>IF(E68&gt;0,VLOOKUP(E68,PRZEWODY!$B$69:$Z$140,M68-1,0),0)</f>
        <v>0</v>
      </c>
      <c r="L68" s="425" t="str">
        <f>IF(E68&gt;0,VLOOKUP(E68,PRZEWODY!$B$69:$AA$140,26,0),"")</f>
        <v/>
      </c>
      <c r="M68" s="106">
        <f t="shared" si="27"/>
        <v>3</v>
      </c>
    </row>
    <row r="69" spans="2:15" ht="21" customHeight="1">
      <c r="B69" s="141" t="s">
        <v>37</v>
      </c>
      <c r="C69" s="142" t="s">
        <v>114</v>
      </c>
      <c r="D69" s="143"/>
      <c r="E69" s="429">
        <f>IF(KALKULATOR!E69=0,0,IF(ISNUMBER(SEARCH("ADSS",KALKULATOR!E69)),0,KALKULATOR!E69))</f>
        <v>0</v>
      </c>
      <c r="F69" s="429"/>
      <c r="G69" s="429">
        <f>IF($E69=0,0,IF(KALKULATOR!G69=0,0,KALKULATOR!G69))</f>
        <v>0</v>
      </c>
      <c r="H69" s="429">
        <f>IF($E69=0,0,IF(KALKULATOR!H69=0,0,KALKULATOR!H69))</f>
        <v>0</v>
      </c>
      <c r="I69" s="406" t="str">
        <f>IF(E69&gt;0,VLOOKUP(E69,PRZEWODY!$B$69:$Z$140,M69,0),"")</f>
        <v/>
      </c>
      <c r="J69" s="405" t="str">
        <f>IF(E69&gt;0,VLOOKUP(E69,PRZEWODY!$B$69:$Z$140,M69+1,0),"")</f>
        <v/>
      </c>
      <c r="K69" s="406">
        <f>IF(E69&gt;0,VLOOKUP(E69,PRZEWODY!$B$69:$Z$140,M69-1,0),0)</f>
        <v>0</v>
      </c>
      <c r="L69" s="425" t="str">
        <f>IF(E69&gt;0,VLOOKUP(E69,PRZEWODY!$B$69:$AA$140,26,0),"")</f>
        <v/>
      </c>
      <c r="M69" s="106">
        <f t="shared" si="27"/>
        <v>3</v>
      </c>
    </row>
    <row r="70" spans="2:15" ht="21" customHeight="1">
      <c r="B70" s="141" t="s">
        <v>38</v>
      </c>
      <c r="C70" s="142" t="s">
        <v>115</v>
      </c>
      <c r="D70" s="143"/>
      <c r="E70" s="429">
        <f>IF(KALKULATOR!E70=0,0,IF(ISNUMBER(SEARCH("ADSS",KALKULATOR!E70)),0,KALKULATOR!E70))</f>
        <v>0</v>
      </c>
      <c r="F70" s="429"/>
      <c r="G70" s="429">
        <f>IF($E70=0,0,IF(KALKULATOR!G70=0,0,KALKULATOR!G70))</f>
        <v>0</v>
      </c>
      <c r="H70" s="429">
        <f>IF($E70=0,0,IF(KALKULATOR!H70=0,0,KALKULATOR!H70))</f>
        <v>0</v>
      </c>
      <c r="I70" s="406" t="str">
        <f>IF(E70&gt;0,VLOOKUP(E70,PRZEWODY!$B$69:$Z$140,M70,0),"")</f>
        <v/>
      </c>
      <c r="J70" s="405" t="str">
        <f>IF(E70&gt;0,VLOOKUP(E70,PRZEWODY!$B$69:$Z$140,M70+1,0),"")</f>
        <v/>
      </c>
      <c r="K70" s="406">
        <f>IF(E70&gt;0,VLOOKUP(E70,PRZEWODY!$B$69:$Z$140,M70-1,0),0)</f>
        <v>0</v>
      </c>
      <c r="L70" s="425" t="str">
        <f>IF(E70&gt;0,VLOOKUP(E70,PRZEWODY!$B$69:$AA$140,26,0),"")</f>
        <v/>
      </c>
      <c r="M70" s="106">
        <f t="shared" si="27"/>
        <v>3</v>
      </c>
      <c r="O70" s="2"/>
    </row>
    <row r="71" spans="2:15" ht="21" customHeight="1">
      <c r="B71" s="141" t="s">
        <v>39</v>
      </c>
      <c r="C71" s="142" t="s">
        <v>116</v>
      </c>
      <c r="D71" s="143" t="s">
        <v>85</v>
      </c>
      <c r="E71" s="429">
        <f>IF(KALKULATOR!E71=0,0,IF(ISNUMBER(SEARCH("ADSS",KALKULATOR!E71)),0,KALKULATOR!E71))</f>
        <v>0</v>
      </c>
      <c r="F71" s="429"/>
      <c r="G71" s="429">
        <f>IF($E71=0,0,IF(KALKULATOR!G71=0,0,KALKULATOR!G71))</f>
        <v>0</v>
      </c>
      <c r="H71" s="429">
        <f>IF($E71=0,0,IF(KALKULATOR!H71=0,0,KALKULATOR!H71))</f>
        <v>0</v>
      </c>
      <c r="I71" s="406" t="str">
        <f>IF(E71&gt;0,VLOOKUP(E71,PRZEWODY!$B$69:$Z$140,M71,0),"")</f>
        <v/>
      </c>
      <c r="J71" s="405" t="str">
        <f>IF(E71&gt;0,VLOOKUP(E71,PRZEWODY!$B$69:$Z$140,M71+1,0),"")</f>
        <v/>
      </c>
      <c r="K71" s="406">
        <f>IF(E71&gt;0,VLOOKUP(E71,PRZEWODY!$B$69:$Z$140,M71-1,0),0)</f>
        <v>0</v>
      </c>
      <c r="L71" s="425" t="str">
        <f>IF(E71&gt;0,VLOOKUP(E71,PRZEWODY!$B$69:$AA$140,26,0),"")</f>
        <v/>
      </c>
      <c r="M71" s="106">
        <f t="shared" si="27"/>
        <v>3</v>
      </c>
    </row>
    <row r="72" spans="2:15" ht="21" customHeight="1">
      <c r="B72" s="141" t="s">
        <v>40</v>
      </c>
      <c r="C72" s="142" t="s">
        <v>117</v>
      </c>
      <c r="D72" s="143" t="s">
        <v>85</v>
      </c>
      <c r="E72" s="429">
        <f>IF(KALKULATOR!E72=0,0,IF(ISNUMBER(SEARCH("ADSS",KALKULATOR!E72)),0,KALKULATOR!E72))</f>
        <v>0</v>
      </c>
      <c r="F72" s="429"/>
      <c r="G72" s="429">
        <f>IF($E72=0,0,IF(KALKULATOR!G72=0,0,KALKULATOR!G72))</f>
        <v>0</v>
      </c>
      <c r="H72" s="429">
        <f>IF($E72=0,0,IF(KALKULATOR!H72=0,0,KALKULATOR!H72))</f>
        <v>0</v>
      </c>
      <c r="I72" s="406" t="str">
        <f>IF(E72&gt;0,VLOOKUP(E72,PRZEWODY!$B$69:$Z$140,M72,0),"")</f>
        <v/>
      </c>
      <c r="J72" s="405" t="str">
        <f>IF(E72&gt;0,VLOOKUP(E72,PRZEWODY!$B$69:$Z$140,M72+1,0),"")</f>
        <v/>
      </c>
      <c r="K72" s="406">
        <f>IF(E72&gt;0,VLOOKUP(E72,PRZEWODY!$B$69:$Z$140,M72-1,0),0)</f>
        <v>0</v>
      </c>
      <c r="L72" s="425" t="str">
        <f>IF(E72&gt;0,VLOOKUP(E72,PRZEWODY!$B$69:$AA$140,26,0),"")</f>
        <v/>
      </c>
      <c r="M72" s="106">
        <f t="shared" si="27"/>
        <v>3</v>
      </c>
    </row>
    <row r="73" spans="2:15" ht="21" customHeight="1">
      <c r="B73" s="141" t="s">
        <v>41</v>
      </c>
      <c r="C73" s="139" t="s">
        <v>118</v>
      </c>
      <c r="D73" s="140" t="s">
        <v>85</v>
      </c>
      <c r="E73" s="429">
        <f>IF(KALKULATOR!E73=0,0,IF(ISNUMBER(SEARCH("ADSS",KALKULATOR!E73)),0,KALKULATOR!E73))</f>
        <v>0</v>
      </c>
      <c r="F73" s="429"/>
      <c r="G73" s="429">
        <f>IF($E73=0,0,IF(KALKULATOR!G73=0,0,KALKULATOR!G73))</f>
        <v>0</v>
      </c>
      <c r="H73" s="429">
        <f>IF($E73=0,0,IF(KALKULATOR!H73=0,0,KALKULATOR!H73))</f>
        <v>0</v>
      </c>
      <c r="I73" s="406" t="str">
        <f>IF(E73&gt;0,VLOOKUP(E73,PRZEWODY!$B$69:$Z$140,M73,0),"")</f>
        <v/>
      </c>
      <c r="J73" s="405" t="str">
        <f>IF(E73&gt;0,VLOOKUP(E73,PRZEWODY!$B$69:$Z$140,M73+1,0),"")</f>
        <v/>
      </c>
      <c r="K73" s="406">
        <f>IF(E73&gt;0,VLOOKUP(E73,PRZEWODY!$B$69:$Z$140,M73-1,0),0)</f>
        <v>0</v>
      </c>
      <c r="L73" s="425" t="str">
        <f>IF(E73&gt;0,VLOOKUP(E73,PRZEWODY!$B$69:$AA$140,26,0),"")</f>
        <v/>
      </c>
      <c r="M73" s="106">
        <f t="shared" si="27"/>
        <v>3</v>
      </c>
    </row>
    <row r="74" spans="2:15" ht="21" customHeight="1">
      <c r="B74" s="144" t="s">
        <v>42</v>
      </c>
      <c r="C74" s="142" t="s">
        <v>119</v>
      </c>
      <c r="D74" s="143" t="s">
        <v>85</v>
      </c>
      <c r="E74" s="429">
        <f>IF(KALKULATOR!E74=0,0,IF(ISNUMBER(SEARCH("ADSS",KALKULATOR!E74)),0,KALKULATOR!E74))</f>
        <v>0</v>
      </c>
      <c r="F74" s="429"/>
      <c r="G74" s="429">
        <f>IF($E74=0,0,IF(KALKULATOR!G74=0,0,KALKULATOR!G74))</f>
        <v>0</v>
      </c>
      <c r="H74" s="429">
        <f>IF($E74=0,0,IF(KALKULATOR!H74=0,0,KALKULATOR!H74))</f>
        <v>0</v>
      </c>
      <c r="I74" s="406" t="str">
        <f>IF(E74&gt;0,VLOOKUP(E74,PRZEWODY!$B$69:$Z$140,M74,0),"")</f>
        <v/>
      </c>
      <c r="J74" s="405" t="str">
        <f>IF(E74&gt;0,VLOOKUP(E74,PRZEWODY!$B$69:$Z$140,M74+1,0),"")</f>
        <v/>
      </c>
      <c r="K74" s="406">
        <f>IF(E74&gt;0,VLOOKUP(E74,PRZEWODY!$B$69:$Z$140,M74-1,0),0)</f>
        <v>0</v>
      </c>
      <c r="L74" s="426" t="str">
        <f>IF(E74&gt;0,VLOOKUP(E74,PRZEWODY!$B$69:$AA$140,26,0),"")</f>
        <v/>
      </c>
      <c r="M74" s="106">
        <f t="shared" si="27"/>
        <v>3</v>
      </c>
    </row>
    <row r="75" spans="2:15" ht="21" customHeight="1" thickBot="1">
      <c r="B75" s="145" t="s">
        <v>43</v>
      </c>
      <c r="C75" s="146" t="s">
        <v>120</v>
      </c>
      <c r="D75" s="147" t="s">
        <v>85</v>
      </c>
      <c r="E75" s="429">
        <f>IF(KALKULATOR!E75=0,0,IF(ISNUMBER(SEARCH("ADSS",KALKULATOR!E75)),0,KALKULATOR!E75))</f>
        <v>0</v>
      </c>
      <c r="F75" s="429"/>
      <c r="G75" s="429">
        <f>IF($E75=0,0,IF(KALKULATOR!G75=0,0,KALKULATOR!G75))</f>
        <v>0</v>
      </c>
      <c r="H75" s="429">
        <f>IF($E75=0,0,IF(KALKULATOR!H75=0,0,KALKULATOR!H75))</f>
        <v>0</v>
      </c>
      <c r="I75" s="406" t="str">
        <f>IF(E75&gt;0,VLOOKUP(E75,PRZEWODY!$B$69:$Z$140,M75,0),"")</f>
        <v/>
      </c>
      <c r="J75" s="427" t="str">
        <f>IF(E75&gt;0,VLOOKUP(E75,PRZEWODY!$B$69:$Z$140,M75+1,0),"")</f>
        <v/>
      </c>
      <c r="K75" s="406">
        <f>IF(E75&gt;0,VLOOKUP(E75,PRZEWODY!$B$69:$Z$140,M75-1,0),0)</f>
        <v>0</v>
      </c>
      <c r="L75" s="428" t="str">
        <f>IF(E75&gt;0,VLOOKUP(E75,PRZEWODY!$B$69:$AA$140,26,0),"")</f>
        <v/>
      </c>
      <c r="M75" s="106">
        <f t="shared" si="27"/>
        <v>3</v>
      </c>
    </row>
    <row r="76" spans="2:15" ht="21" customHeight="1">
      <c r="B76" s="479" t="s">
        <v>601</v>
      </c>
      <c r="C76" s="480"/>
      <c r="D76" s="480"/>
      <c r="E76" s="480"/>
      <c r="F76" s="480"/>
      <c r="G76" s="480"/>
      <c r="H76" s="480"/>
      <c r="I76" s="480"/>
      <c r="J76" s="480"/>
      <c r="K76" s="480"/>
      <c r="L76" s="481"/>
      <c r="M76" s="5"/>
    </row>
    <row r="77" spans="2:15" ht="21" customHeight="1">
      <c r="B77" s="482"/>
      <c r="C77" s="483"/>
      <c r="D77" s="483"/>
      <c r="E77" s="483"/>
      <c r="F77" s="483"/>
      <c r="G77" s="483"/>
      <c r="H77" s="483"/>
      <c r="I77" s="483"/>
      <c r="J77" s="483"/>
      <c r="K77" s="483"/>
      <c r="L77" s="484"/>
      <c r="M77" s="5"/>
    </row>
    <row r="78" spans="2:15" ht="21" customHeight="1">
      <c r="B78" s="148" t="s">
        <v>121</v>
      </c>
      <c r="C78" s="474" t="str">
        <f>IF(KALKULATOR!C78=0,"",KALKULATOR!C78)</f>
        <v/>
      </c>
      <c r="D78" s="463" t="str">
        <f>IF(KALKULATOR!D78=0,"",KALKULATOR!D78)</f>
        <v/>
      </c>
      <c r="E78" s="149" t="s">
        <v>122</v>
      </c>
      <c r="F78" s="150"/>
      <c r="G78" s="151" t="str">
        <f>IF(KALKULATOR!G78=0,"",KALKULATOR!G78)</f>
        <v/>
      </c>
      <c r="H78" s="152"/>
      <c r="I78" s="152" t="s">
        <v>124</v>
      </c>
      <c r="J78" s="433" t="str">
        <f>IF(KALKULATOR!J78=0,"",KALKULATOR!J78)</f>
        <v/>
      </c>
      <c r="K78" s="150" t="s">
        <v>126</v>
      </c>
      <c r="L78" s="153" t="str">
        <f>IF(KALKULATOR!L78=0,"",KALKULATOR!L78)</f>
        <v/>
      </c>
      <c r="M78" s="5"/>
    </row>
    <row r="79" spans="2:15" ht="21" customHeight="1">
      <c r="B79" s="448" t="s">
        <v>127</v>
      </c>
      <c r="C79" s="446"/>
      <c r="D79" s="446"/>
      <c r="E79" s="446"/>
      <c r="F79" s="154"/>
      <c r="G79" s="4">
        <f>ROUND(ABS(L37),2)</f>
        <v>0</v>
      </c>
      <c r="H79" s="85" t="s">
        <v>62</v>
      </c>
      <c r="I79" s="85"/>
      <c r="J79" s="5"/>
      <c r="K79" s="4"/>
      <c r="L79" s="90"/>
      <c r="M79" s="5"/>
    </row>
    <row r="80" spans="2:15" ht="21" customHeight="1">
      <c r="B80" s="448" t="s">
        <v>128</v>
      </c>
      <c r="C80" s="446"/>
      <c r="D80" s="446"/>
      <c r="E80" s="446"/>
      <c r="F80" s="154"/>
      <c r="G80" s="4">
        <f>ROUND(ABS(K37),2)</f>
        <v>0</v>
      </c>
      <c r="H80" s="85" t="s">
        <v>62</v>
      </c>
      <c r="I80" s="85"/>
      <c r="J80" s="5"/>
      <c r="K80" s="4"/>
      <c r="L80" s="90"/>
      <c r="M80" s="5"/>
    </row>
    <row r="81" spans="2:39" ht="21" customHeight="1">
      <c r="B81" s="448" t="s">
        <v>129</v>
      </c>
      <c r="C81" s="446"/>
      <c r="D81" s="446"/>
      <c r="E81" s="446"/>
      <c r="F81" s="154"/>
      <c r="G81" s="4">
        <f>ABS(ROUND(L38,2))*0.2</f>
        <v>0</v>
      </c>
      <c r="H81" s="5" t="s">
        <v>62</v>
      </c>
      <c r="I81" s="5"/>
      <c r="J81" s="5"/>
      <c r="K81" s="4"/>
      <c r="L81" s="90"/>
      <c r="M81" s="5"/>
    </row>
    <row r="82" spans="2:39" ht="21" customHeight="1">
      <c r="B82" s="448" t="s">
        <v>130</v>
      </c>
      <c r="C82" s="446"/>
      <c r="D82" s="446"/>
      <c r="E82" s="446"/>
      <c r="F82" s="154"/>
      <c r="G82" s="4">
        <f>ABS(ROUND(K38,2))*0.2</f>
        <v>0</v>
      </c>
      <c r="H82" s="5" t="s">
        <v>62</v>
      </c>
      <c r="I82" s="5"/>
      <c r="J82" s="5"/>
      <c r="K82" s="4"/>
      <c r="L82" s="90"/>
      <c r="M82" s="5"/>
    </row>
    <row r="83" spans="2:39" ht="21" customHeight="1">
      <c r="B83" s="470" t="e">
        <f>CONCATENATE("siła wypadkowa od przewodów pod kątem  ",K83," °   =")</f>
        <v>#N/A</v>
      </c>
      <c r="C83" s="446"/>
      <c r="D83" s="446"/>
      <c r="E83" s="446"/>
      <c r="F83" s="155"/>
      <c r="G83" s="156" t="e">
        <f>ROUND(C97,2)</f>
        <v>#N/A</v>
      </c>
      <c r="H83" s="157" t="s">
        <v>62</v>
      </c>
      <c r="I83" s="158" t="e">
        <f>INT(DEGREES(ACOS(K36/C97)))</f>
        <v>#N/A</v>
      </c>
      <c r="J83" s="159"/>
      <c r="K83" s="160" t="e">
        <f>IF(L36&lt;0,360-I83,I83)</f>
        <v>#N/A</v>
      </c>
      <c r="L83" s="161"/>
      <c r="M83" s="162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</row>
    <row r="84" spans="2:39" ht="21" customHeight="1">
      <c r="B84" s="448" t="s">
        <v>131</v>
      </c>
      <c r="C84" s="446"/>
      <c r="D84" s="446"/>
      <c r="E84" s="446"/>
      <c r="F84" s="154"/>
      <c r="G84" s="163" t="e">
        <f>VLOOKUP(G78,SŁUPY!A3:G111,5,0)</f>
        <v>#N/A</v>
      </c>
      <c r="H84" s="5" t="s">
        <v>62</v>
      </c>
      <c r="I84" s="5"/>
      <c r="J84" s="5"/>
      <c r="K84" s="4"/>
      <c r="L84" s="90"/>
      <c r="M84" s="5"/>
    </row>
    <row r="85" spans="2:39" ht="21" customHeight="1">
      <c r="B85" s="448" t="s">
        <v>132</v>
      </c>
      <c r="C85" s="446"/>
      <c r="D85" s="446"/>
      <c r="E85" s="446"/>
      <c r="F85" s="154"/>
      <c r="G85" s="163" t="e">
        <f>VLOOKUP(G78,SŁUPY!A3:G111,4,0)</f>
        <v>#N/A</v>
      </c>
      <c r="H85" s="5" t="s">
        <v>62</v>
      </c>
      <c r="I85" s="5"/>
      <c r="J85" s="5"/>
      <c r="K85" s="4"/>
      <c r="L85" s="90"/>
      <c r="M85" s="5"/>
    </row>
    <row r="86" spans="2:39" ht="21" customHeight="1">
      <c r="B86" s="448" t="s">
        <v>133</v>
      </c>
      <c r="C86" s="446"/>
      <c r="D86" s="446"/>
      <c r="E86" s="446"/>
      <c r="F86" s="154"/>
      <c r="G86" s="4">
        <v>0</v>
      </c>
      <c r="H86" s="5" t="s">
        <v>62</v>
      </c>
      <c r="I86" s="5"/>
      <c r="J86" s="5"/>
      <c r="K86" s="4"/>
      <c r="L86" s="90"/>
      <c r="M86" s="5"/>
    </row>
    <row r="87" spans="2:39" ht="21" customHeight="1">
      <c r="B87" s="448" t="s">
        <v>134</v>
      </c>
      <c r="C87" s="446"/>
      <c r="D87" s="446"/>
      <c r="E87" s="446"/>
      <c r="F87" s="154"/>
      <c r="G87" s="4">
        <v>20</v>
      </c>
      <c r="H87" s="5" t="s">
        <v>62</v>
      </c>
      <c r="I87" s="164"/>
      <c r="J87" s="165" t="s">
        <v>135</v>
      </c>
      <c r="K87" s="166" t="s">
        <v>136</v>
      </c>
      <c r="L87" s="166" t="s">
        <v>137</v>
      </c>
      <c r="M87" s="5"/>
    </row>
    <row r="88" spans="2:39" ht="21" customHeight="1">
      <c r="B88" s="448" t="s">
        <v>138</v>
      </c>
      <c r="C88" s="446"/>
      <c r="D88" s="446"/>
      <c r="E88" s="446"/>
      <c r="F88" s="154"/>
      <c r="G88" s="167">
        <f>KALKULATOR!$G$88</f>
        <v>0</v>
      </c>
      <c r="H88" s="5" t="s">
        <v>62</v>
      </c>
      <c r="I88" s="168" t="s">
        <v>139</v>
      </c>
      <c r="J88" s="169">
        <v>7</v>
      </c>
      <c r="K88" s="170">
        <v>10</v>
      </c>
      <c r="L88" s="170">
        <v>15</v>
      </c>
      <c r="M88" s="5"/>
    </row>
    <row r="89" spans="2:39" ht="21" customHeight="1">
      <c r="B89" s="89"/>
      <c r="C89" s="2"/>
      <c r="D89" s="2"/>
      <c r="E89" s="2"/>
      <c r="F89" s="4"/>
      <c r="G89" s="4"/>
      <c r="H89" s="5"/>
      <c r="I89" s="171"/>
      <c r="J89" s="172"/>
      <c r="K89" s="164"/>
      <c r="L89" s="173"/>
      <c r="M89" s="5"/>
    </row>
    <row r="90" spans="2:39" ht="21" customHeight="1" outlineLevel="1">
      <c r="B90" s="466" t="s">
        <v>140</v>
      </c>
      <c r="C90" s="456"/>
      <c r="D90" s="456"/>
      <c r="E90" s="456"/>
      <c r="F90" s="174"/>
      <c r="G90" s="174"/>
      <c r="H90" s="175"/>
      <c r="I90" s="176">
        <f>SUM(K44:K51)</f>
        <v>0</v>
      </c>
      <c r="J90" s="177"/>
      <c r="K90" s="178"/>
      <c r="L90" s="88"/>
      <c r="M90" s="5"/>
    </row>
    <row r="91" spans="2:39" ht="21" customHeight="1" outlineLevel="1">
      <c r="B91" s="457" t="s">
        <v>141</v>
      </c>
      <c r="C91" s="446"/>
      <c r="D91" s="446"/>
      <c r="E91" s="446"/>
      <c r="F91" s="70"/>
      <c r="G91" s="70"/>
      <c r="H91" s="179"/>
      <c r="I91" s="180">
        <f>E40</f>
        <v>0</v>
      </c>
      <c r="J91" s="181"/>
      <c r="K91" s="4"/>
      <c r="L91" s="90"/>
      <c r="M91" s="5"/>
    </row>
    <row r="92" spans="2:39" ht="21" customHeight="1" outlineLevel="1">
      <c r="B92" s="452" t="s">
        <v>142</v>
      </c>
      <c r="C92" s="468"/>
      <c r="D92" s="468"/>
      <c r="E92" s="468"/>
      <c r="F92" s="468"/>
      <c r="G92" s="468"/>
      <c r="H92" s="468"/>
      <c r="I92" s="468"/>
      <c r="J92" s="468"/>
      <c r="K92" s="468"/>
      <c r="L92" s="469"/>
      <c r="M92" s="4"/>
      <c r="P92" s="184"/>
    </row>
    <row r="93" spans="2:39" ht="21" customHeight="1" outlineLevel="1">
      <c r="B93" s="464" t="s">
        <v>143</v>
      </c>
      <c r="C93" s="446"/>
      <c r="D93" s="446"/>
      <c r="E93" s="446"/>
      <c r="F93" s="185"/>
      <c r="G93" s="445" t="str">
        <f>IF(OR(AND(88&lt;E40,E40&lt;92),(AND(-92&lt;E40,E40&lt;-88))),CONCATENATE(" = ",SUM(K44:K51)," + ",G81," = "),CONCATENATE(" = ",ROUND(ABS(SIN(RADIANS(E40)))*SUM(K44:K51),2)," + ",G81," == "))</f>
        <v xml:space="preserve"> = 0 + 0 == </v>
      </c>
      <c r="H93" s="446"/>
      <c r="I93" s="186">
        <f t="shared" ref="I93:I94" si="28">C95</f>
        <v>0</v>
      </c>
      <c r="J93" s="181"/>
      <c r="K93" s="4"/>
      <c r="L93" s="90"/>
      <c r="M93" s="4"/>
    </row>
    <row r="94" spans="2:39" ht="21" customHeight="1" outlineLevel="1">
      <c r="B94" s="464" t="s">
        <v>144</v>
      </c>
      <c r="C94" s="446"/>
      <c r="D94" s="446"/>
      <c r="E94" s="446"/>
      <c r="F94" s="185"/>
      <c r="G94" s="445" t="e">
        <f>IF(OR(AND(88&lt;E40,E40&lt;92),(AND(-92&lt;E40,E40&lt;-88))),CONCATENATE(" = ",G82," + ",G84," + ",G87," + ",G88," + ",G86," = "), CONCATENATE(" = ",ABS(ROUND(COS(RADIANS(E40))*SUM(K44:K51),2))," + ",G82," + ",G84," + ",G87," + ",G88," + ",G86," = "))</f>
        <v>#N/A</v>
      </c>
      <c r="H94" s="446"/>
      <c r="I94" s="186" t="e">
        <f t="shared" si="28"/>
        <v>#N/A</v>
      </c>
      <c r="J94" s="181"/>
      <c r="K94" s="4"/>
      <c r="L94" s="90"/>
      <c r="M94" s="4"/>
      <c r="N94" s="187"/>
      <c r="P94" t="s">
        <v>145</v>
      </c>
    </row>
    <row r="95" spans="2:39" ht="21" customHeight="1" outlineLevel="1">
      <c r="B95" s="188" t="s">
        <v>146</v>
      </c>
      <c r="C95" s="189">
        <f>IF(OR(AND(88&lt;E40,E40&lt;92),(AND(-92&lt;E40,E40&lt;-88))),SUM(K44:K51)+G81,ABS(SIN(RADIANS(E40)))*SUM(K44:K51)+G81)</f>
        <v>0</v>
      </c>
      <c r="D95" s="190"/>
      <c r="E95" s="191" t="e">
        <f t="shared" ref="E95:E96" si="29">IF(I95&gt;C95,"&lt;","≥")</f>
        <v>#N/A</v>
      </c>
      <c r="F95" s="192"/>
      <c r="G95" s="447" t="s">
        <v>147</v>
      </c>
      <c r="H95" s="446"/>
      <c r="I95" s="194" t="e">
        <f>VLOOKUP(G78,SŁUPY!A3:G111,2,0)</f>
        <v>#N/A</v>
      </c>
      <c r="J95" s="5"/>
      <c r="K95" s="4" t="e">
        <f t="shared" ref="K95:K97" si="30">IF(I95&gt;C95,"Warunek spełniony","błąd")</f>
        <v>#N/A</v>
      </c>
      <c r="L95" s="90"/>
      <c r="M95" s="4"/>
      <c r="N95" s="187" t="e">
        <f>(100-(100*C95)/I95)/100</f>
        <v>#N/A</v>
      </c>
    </row>
    <row r="96" spans="2:39" ht="21" customHeight="1" outlineLevel="1">
      <c r="B96" s="188" t="s">
        <v>148</v>
      </c>
      <c r="C96" s="189" t="e">
        <f>IF(OR(AND(88&lt;E40,E40&lt;92),(AND(-92&lt;E40,E40&lt;-88))),G82+G84+G87+G88+G86,ABS(COS(RADIANS(E40))*SUM(K44:K51))+G82+G84+G87+G88+G86)</f>
        <v>#N/A</v>
      </c>
      <c r="D96" s="190"/>
      <c r="E96" s="191" t="e">
        <f t="shared" si="29"/>
        <v>#N/A</v>
      </c>
      <c r="F96" s="192"/>
      <c r="G96" s="447" t="s">
        <v>149</v>
      </c>
      <c r="H96" s="446"/>
      <c r="I96" s="194" t="e">
        <f>VLOOKUP(G78,SŁUPY!A3:G111,3,0)</f>
        <v>#N/A</v>
      </c>
      <c r="J96" s="5"/>
      <c r="K96" s="4" t="e">
        <f t="shared" si="30"/>
        <v>#N/A</v>
      </c>
      <c r="L96" s="90"/>
      <c r="M96" s="4"/>
      <c r="N96" s="187" t="e">
        <f t="shared" ref="N96" si="31">(100-(100*C96)/I96)/100</f>
        <v>#N/A</v>
      </c>
    </row>
    <row r="97" spans="2:21" ht="21" customHeight="1">
      <c r="B97" s="195" t="s">
        <v>150</v>
      </c>
      <c r="C97" s="196" t="e">
        <f>SQRT(C95^2+C96^2)</f>
        <v>#N/A</v>
      </c>
      <c r="D97" s="197"/>
      <c r="E97" s="198"/>
      <c r="F97" s="199"/>
      <c r="G97" s="476" t="s">
        <v>151</v>
      </c>
      <c r="H97" s="463"/>
      <c r="I97" s="200" t="e">
        <f>VLOOKUP(G78,SŁUPY!A3:G111,3,0)</f>
        <v>#N/A</v>
      </c>
      <c r="J97" s="201"/>
      <c r="K97" s="202" t="e">
        <f t="shared" si="30"/>
        <v>#N/A</v>
      </c>
      <c r="L97" s="203"/>
      <c r="M97" s="4" t="s">
        <v>111</v>
      </c>
      <c r="N97" s="187" t="e">
        <f>IF(N95&lt;N96,N95,N96)</f>
        <v>#N/A</v>
      </c>
    </row>
    <row r="98" spans="2:21" ht="21" customHeight="1">
      <c r="B98" s="195" t="s">
        <v>152</v>
      </c>
      <c r="C98" s="204"/>
      <c r="D98" s="197"/>
      <c r="E98" s="198"/>
      <c r="F98" s="199"/>
      <c r="G98" s="202" t="s">
        <v>153</v>
      </c>
      <c r="H98" s="199"/>
      <c r="I98" s="205"/>
      <c r="J98" s="206"/>
      <c r="K98" s="199"/>
      <c r="L98" s="203"/>
      <c r="M98" s="4"/>
      <c r="N98" s="187"/>
      <c r="U98" s="184"/>
    </row>
    <row r="99" spans="2:21" ht="21" customHeight="1" outlineLevel="1">
      <c r="B99" s="458" t="s">
        <v>154</v>
      </c>
      <c r="C99" s="459"/>
      <c r="D99" s="459"/>
      <c r="E99" s="459"/>
      <c r="F99" s="459"/>
      <c r="G99" s="460"/>
      <c r="H99" s="207"/>
      <c r="I99" s="208">
        <f>ABS(SUM(G52:G59)/COUNTA(G52:G59)-SUM(G44:G51)/COUNTA(G44:G51))</f>
        <v>0</v>
      </c>
      <c r="J99" s="209">
        <f>COS(RADIANS(G99/2))</f>
        <v>1</v>
      </c>
      <c r="K99" s="178"/>
      <c r="L99" s="88"/>
      <c r="M99" s="4"/>
    </row>
    <row r="100" spans="2:21" ht="21" customHeight="1" outlineLevel="1">
      <c r="B100" s="449" t="s">
        <v>155</v>
      </c>
      <c r="C100" s="446"/>
      <c r="D100" s="446"/>
      <c r="E100" s="446"/>
      <c r="F100" s="446"/>
      <c r="G100" s="446"/>
      <c r="H100" s="85"/>
      <c r="I100" s="210">
        <f>IF(SUM(K44:K51)=SUM(K52:K59),SUM(K44:K59)/2,MAX(SUM(K44:K51),SUM(K52:K59)))</f>
        <v>0</v>
      </c>
      <c r="J100" s="5"/>
      <c r="K100" s="4"/>
      <c r="L100" s="90"/>
      <c r="M100" s="4"/>
    </row>
    <row r="101" spans="2:21" ht="21" customHeight="1" outlineLevel="1">
      <c r="B101" s="452" t="s">
        <v>156</v>
      </c>
      <c r="C101" s="468"/>
      <c r="D101" s="468"/>
      <c r="E101" s="468"/>
      <c r="F101" s="468"/>
      <c r="G101" s="468"/>
      <c r="H101" s="468"/>
      <c r="I101" s="468"/>
      <c r="J101" s="468"/>
      <c r="K101" s="468"/>
      <c r="L101" s="469"/>
      <c r="M101" s="4"/>
    </row>
    <row r="102" spans="2:21" ht="21" customHeight="1" outlineLevel="1">
      <c r="B102" s="450" t="s">
        <v>157</v>
      </c>
      <c r="C102" s="446"/>
      <c r="D102" s="446"/>
      <c r="E102" s="446"/>
      <c r="F102" s="185"/>
      <c r="G102" s="461" t="e">
        <f>CONCATENATE(" = ","2 * ",I100," * ","cos(",I99/2, ")", " + ",G87," + ",G88," + ",G85," + ",G81," = ")</f>
        <v>#N/A</v>
      </c>
      <c r="H102" s="446"/>
      <c r="I102" s="434" t="e">
        <f>C104</f>
        <v>#N/A</v>
      </c>
      <c r="J102" s="5"/>
      <c r="K102" s="4"/>
      <c r="L102" s="90"/>
      <c r="M102" s="4"/>
    </row>
    <row r="103" spans="2:21" ht="21" customHeight="1" outlineLevel="1">
      <c r="B103" s="450" t="s">
        <v>158</v>
      </c>
      <c r="C103" s="446"/>
      <c r="D103" s="446"/>
      <c r="E103" s="446"/>
      <c r="F103" s="185"/>
      <c r="G103" s="461" t="e">
        <f>CONCATENATE(" = ",G82," + ",G84," + ",G87, " + ",G88," = ")</f>
        <v>#N/A</v>
      </c>
      <c r="H103" s="446"/>
      <c r="I103" s="434" t="e">
        <f>C105</f>
        <v>#N/A</v>
      </c>
      <c r="J103" s="5"/>
      <c r="K103" s="4"/>
      <c r="L103" s="90"/>
      <c r="M103" s="4"/>
      <c r="N103" s="187"/>
    </row>
    <row r="104" spans="2:21" ht="21" customHeight="1" outlineLevel="1">
      <c r="B104" s="188" t="s">
        <v>146</v>
      </c>
      <c r="C104" s="189" t="e">
        <f>ROUNDUP(2*I100*COS(RADIANS(I99/2))+G87+G88+G85+G81,2)</f>
        <v>#N/A</v>
      </c>
      <c r="D104" s="190"/>
      <c r="E104" s="191" t="e">
        <f t="shared" ref="E104:E105" si="32">IF(I104&gt;C104,"&lt;","≥")</f>
        <v>#N/A</v>
      </c>
      <c r="F104" s="192"/>
      <c r="G104" s="447" t="s">
        <v>160</v>
      </c>
      <c r="H104" s="446"/>
      <c r="I104" s="435" t="e">
        <f>I95</f>
        <v>#N/A</v>
      </c>
      <c r="J104" s="5"/>
      <c r="K104" s="4" t="e">
        <f t="shared" ref="K104:K106" si="33">IF(I104&gt;C104,"Warunek spełniony","błąd")</f>
        <v>#N/A</v>
      </c>
      <c r="L104" s="90"/>
      <c r="M104" s="4"/>
      <c r="N104" s="187" t="e">
        <f t="shared" ref="N104:N105" si="34">(100-(100*C104)/I104)/100</f>
        <v>#N/A</v>
      </c>
    </row>
    <row r="105" spans="2:21" ht="21" customHeight="1" outlineLevel="1">
      <c r="B105" s="188" t="s">
        <v>148</v>
      </c>
      <c r="C105" s="189" t="e">
        <f>G82+G84+G87+G88</f>
        <v>#N/A</v>
      </c>
      <c r="D105" s="190"/>
      <c r="E105" s="191" t="e">
        <f t="shared" si="32"/>
        <v>#N/A</v>
      </c>
      <c r="F105" s="192"/>
      <c r="G105" s="447" t="s">
        <v>162</v>
      </c>
      <c r="H105" s="446"/>
      <c r="I105" s="435" t="e">
        <f>I96</f>
        <v>#N/A</v>
      </c>
      <c r="J105" s="5"/>
      <c r="K105" s="4" t="e">
        <f t="shared" si="33"/>
        <v>#N/A</v>
      </c>
      <c r="L105" s="90"/>
      <c r="M105" s="4"/>
      <c r="N105" s="187" t="e">
        <f t="shared" si="34"/>
        <v>#N/A</v>
      </c>
    </row>
    <row r="106" spans="2:21" ht="21" customHeight="1">
      <c r="B106" s="195" t="s">
        <v>163</v>
      </c>
      <c r="C106" s="196" t="e">
        <f>SQRT(C104^2+C105^2)</f>
        <v>#N/A</v>
      </c>
      <c r="D106" s="198"/>
      <c r="E106" s="197"/>
      <c r="F106" s="212"/>
      <c r="G106" s="476" t="s">
        <v>151</v>
      </c>
      <c r="H106" s="463"/>
      <c r="I106" s="436" t="e">
        <f>VLOOKUP(G78,SŁUPY!A3:G111,3,0)</f>
        <v>#N/A</v>
      </c>
      <c r="J106" s="213"/>
      <c r="K106" s="214" t="e">
        <f t="shared" si="33"/>
        <v>#N/A</v>
      </c>
      <c r="L106" s="203"/>
      <c r="M106" s="4" t="s">
        <v>82</v>
      </c>
      <c r="N106" s="187" t="e">
        <f>IF(N104&lt;N105,N104,N105)</f>
        <v>#N/A</v>
      </c>
    </row>
    <row r="107" spans="2:21" ht="21" customHeight="1">
      <c r="B107" s="215" t="s">
        <v>164</v>
      </c>
      <c r="C107" s="216"/>
      <c r="D107" s="217"/>
      <c r="E107" s="218"/>
      <c r="F107" s="219"/>
      <c r="G107" s="220" t="s">
        <v>153</v>
      </c>
      <c r="H107" s="221"/>
      <c r="I107" s="437"/>
      <c r="J107" s="222"/>
      <c r="K107" s="223"/>
      <c r="L107" s="224"/>
      <c r="M107" s="4"/>
      <c r="N107" s="187"/>
    </row>
    <row r="108" spans="2:21" ht="21" customHeight="1" outlineLevel="1">
      <c r="B108" s="449" t="s">
        <v>165</v>
      </c>
      <c r="C108" s="446"/>
      <c r="D108" s="446"/>
      <c r="E108" s="446"/>
      <c r="F108" s="446"/>
      <c r="G108" s="446"/>
      <c r="H108" s="225" t="s">
        <v>166</v>
      </c>
      <c r="I108" s="434">
        <f>ROUNDUP(ROUND(SUM(R24:R34),3)*0.2,2)</f>
        <v>0</v>
      </c>
      <c r="J108" s="5"/>
      <c r="K108" s="4"/>
      <c r="L108" s="90"/>
      <c r="M108" s="4"/>
    </row>
    <row r="109" spans="2:21" ht="21" customHeight="1" outlineLevel="1">
      <c r="B109" s="449" t="s">
        <v>167</v>
      </c>
      <c r="C109" s="446"/>
      <c r="D109" s="446"/>
      <c r="E109" s="446"/>
      <c r="F109" s="446"/>
      <c r="G109" s="446"/>
      <c r="H109" s="225" t="s">
        <v>168</v>
      </c>
      <c r="I109" s="434">
        <f>ROUNDUP(ROUND(SUM(Q24:Q34),3)*0.2,2)</f>
        <v>0</v>
      </c>
      <c r="J109" s="5"/>
      <c r="K109" s="4"/>
      <c r="L109" s="90"/>
      <c r="M109" s="4"/>
    </row>
    <row r="110" spans="2:21" ht="21" customHeight="1" outlineLevel="1">
      <c r="B110" s="449" t="s">
        <v>169</v>
      </c>
      <c r="C110" s="446"/>
      <c r="D110" s="446"/>
      <c r="E110" s="446"/>
      <c r="F110" s="446"/>
      <c r="G110" s="446"/>
      <c r="H110" s="5"/>
      <c r="I110" s="434">
        <f>(L44*H44+L45*H45+L47*H47+H46*L46+L48*H48+L49*H49+L50*H50+L51*H51+L52*H52+L53*H53+L54*H54+L55*H55+L56*H56+L57*H57+L58*H58+L59*H59)/2</f>
        <v>0</v>
      </c>
      <c r="J110" s="5"/>
      <c r="K110" s="4"/>
      <c r="L110" s="90"/>
      <c r="M110" s="4"/>
    </row>
    <row r="111" spans="2:21" ht="21" customHeight="1" outlineLevel="1">
      <c r="B111" s="449" t="s">
        <v>170</v>
      </c>
      <c r="C111" s="446"/>
      <c r="D111" s="446"/>
      <c r="E111" s="446"/>
      <c r="F111" s="446"/>
      <c r="G111" s="446"/>
      <c r="H111" s="5"/>
      <c r="I111" s="434">
        <f>(L60*H60+L61*H61+L62*H62+L64*H64+H63*L63)/2</f>
        <v>0</v>
      </c>
      <c r="J111" s="5"/>
      <c r="K111" s="4"/>
      <c r="L111" s="90"/>
      <c r="M111" s="4"/>
    </row>
    <row r="112" spans="2:21" ht="21" customHeight="1" outlineLevel="1">
      <c r="B112" s="452" t="s">
        <v>171</v>
      </c>
      <c r="C112" s="468"/>
      <c r="D112" s="468"/>
      <c r="E112" s="468"/>
      <c r="F112" s="468"/>
      <c r="G112" s="468"/>
      <c r="H112" s="468"/>
      <c r="I112" s="468"/>
      <c r="J112" s="468"/>
      <c r="K112" s="468"/>
      <c r="L112" s="469"/>
      <c r="M112" s="4"/>
    </row>
    <row r="113" spans="2:14" ht="21" customHeight="1" outlineLevel="1">
      <c r="B113" s="450" t="s">
        <v>172</v>
      </c>
      <c r="C113" s="446"/>
      <c r="D113" s="446"/>
      <c r="E113" s="446"/>
      <c r="F113" s="185"/>
      <c r="G113" s="85" t="e">
        <f>CONCATENATE(I110," + ",G87," + ",G85, " + ",G88," + ",I108," = ")</f>
        <v>#N/A</v>
      </c>
      <c r="H113" s="5"/>
      <c r="I113" s="210" t="e">
        <f t="shared" ref="I113:I114" si="35">C115</f>
        <v>#N/A</v>
      </c>
      <c r="J113" s="5"/>
      <c r="K113" s="4"/>
      <c r="L113" s="90"/>
      <c r="M113" s="4"/>
      <c r="N113" s="86"/>
    </row>
    <row r="114" spans="2:14" ht="21" customHeight="1" outlineLevel="1">
      <c r="B114" s="450" t="s">
        <v>173</v>
      </c>
      <c r="C114" s="446"/>
      <c r="D114" s="446"/>
      <c r="E114" s="446"/>
      <c r="F114" s="185"/>
      <c r="G114" s="85" t="e">
        <f>CONCATENATE(I111," + ",G87," + ",G84, " + ",G88," + ",I109," = ")</f>
        <v>#N/A</v>
      </c>
      <c r="H114" s="5"/>
      <c r="I114" s="210" t="e">
        <f t="shared" si="35"/>
        <v>#N/A</v>
      </c>
      <c r="J114" s="5"/>
      <c r="K114" s="4"/>
      <c r="L114" s="90"/>
      <c r="M114" s="4"/>
    </row>
    <row r="115" spans="2:14" ht="21" customHeight="1" outlineLevel="1">
      <c r="B115" s="188" t="s">
        <v>146</v>
      </c>
      <c r="C115" s="189" t="e">
        <f>I110+G87+I108+G85+G88</f>
        <v>#N/A</v>
      </c>
      <c r="D115" s="1"/>
      <c r="E115" s="191" t="e">
        <f t="shared" ref="E115:E116" si="36">IF(I115&gt;C115,"&lt;","≥")</f>
        <v>#N/A</v>
      </c>
      <c r="F115" s="192"/>
      <c r="G115" s="447" t="s">
        <v>160</v>
      </c>
      <c r="H115" s="446"/>
      <c r="I115" s="194" t="e">
        <f t="shared" ref="I115:I116" si="37">I104</f>
        <v>#N/A</v>
      </c>
      <c r="J115" s="5"/>
      <c r="K115" s="4" t="e">
        <f t="shared" ref="K115:K116" si="38">IF(I115&gt;C115,"Warunek spełniony","błąd")</f>
        <v>#N/A</v>
      </c>
      <c r="L115" s="90"/>
      <c r="M115" s="4"/>
      <c r="N115" s="187" t="e">
        <f t="shared" ref="N115:N116" si="39">(100-(100*C115)/I115)/100</f>
        <v>#N/A</v>
      </c>
    </row>
    <row r="116" spans="2:14" ht="21" customHeight="1" outlineLevel="1">
      <c r="B116" s="188" t="s">
        <v>148</v>
      </c>
      <c r="C116" s="189" t="e">
        <f>I111+I109+G84+G87+G88</f>
        <v>#N/A</v>
      </c>
      <c r="D116" s="190"/>
      <c r="E116" s="191" t="e">
        <f t="shared" si="36"/>
        <v>#N/A</v>
      </c>
      <c r="F116" s="192"/>
      <c r="G116" s="447" t="s">
        <v>162</v>
      </c>
      <c r="H116" s="446"/>
      <c r="I116" s="194" t="e">
        <f t="shared" si="37"/>
        <v>#N/A</v>
      </c>
      <c r="J116" s="5"/>
      <c r="K116" s="4" t="e">
        <f t="shared" si="38"/>
        <v>#N/A</v>
      </c>
      <c r="L116" s="90"/>
      <c r="M116" s="4"/>
      <c r="N116" s="187" t="e">
        <f t="shared" si="39"/>
        <v>#N/A</v>
      </c>
    </row>
    <row r="117" spans="2:14" ht="21" customHeight="1">
      <c r="B117" s="226" t="s">
        <v>176</v>
      </c>
      <c r="C117" s="204"/>
      <c r="D117" s="197"/>
      <c r="E117" s="198"/>
      <c r="F117" s="199"/>
      <c r="G117" s="202" t="s">
        <v>177</v>
      </c>
      <c r="H117" s="199"/>
      <c r="I117" s="227" t="e">
        <f>VLOOKUP(G78,SŁUPY!A3:G111,3,0)</f>
        <v>#N/A</v>
      </c>
      <c r="J117" s="201" t="s">
        <v>62</v>
      </c>
      <c r="K117" s="202" t="e">
        <f t="shared" ref="K117:K118" si="40">IF(I117&gt;C115,"Warunek spełniony","błąd")</f>
        <v>#N/A</v>
      </c>
      <c r="L117" s="203"/>
      <c r="M117" s="4" t="s">
        <v>178</v>
      </c>
      <c r="N117" s="187" t="e">
        <f>IF(N115&lt;N116,N115,N116)</f>
        <v>#N/A</v>
      </c>
    </row>
    <row r="118" spans="2:14" ht="21" customHeight="1">
      <c r="B118" s="226" t="s">
        <v>152</v>
      </c>
      <c r="C118" s="204"/>
      <c r="D118" s="197"/>
      <c r="E118" s="198"/>
      <c r="F118" s="199"/>
      <c r="G118" s="202" t="s">
        <v>179</v>
      </c>
      <c r="H118" s="199"/>
      <c r="I118" s="227" t="e">
        <f>VLOOKUP(G78,SŁUPY!A3:G111,3,0)</f>
        <v>#N/A</v>
      </c>
      <c r="J118" s="201" t="s">
        <v>62</v>
      </c>
      <c r="K118" s="202" t="e">
        <f t="shared" si="40"/>
        <v>#N/A</v>
      </c>
      <c r="L118" s="203"/>
      <c r="M118" s="4"/>
      <c r="N118" s="187"/>
    </row>
    <row r="119" spans="2:14" ht="21" customHeight="1" outlineLevel="1">
      <c r="B119" s="455" t="s">
        <v>180</v>
      </c>
      <c r="C119" s="456"/>
      <c r="D119" s="456"/>
      <c r="E119" s="456"/>
      <c r="F119" s="456"/>
      <c r="G119" s="456"/>
      <c r="H119" s="228"/>
      <c r="I119" s="176">
        <f>ROUND(I110,2)</f>
        <v>0</v>
      </c>
      <c r="J119" s="228"/>
      <c r="K119" s="178"/>
      <c r="L119" s="88"/>
      <c r="M119" s="4"/>
    </row>
    <row r="120" spans="2:14" ht="21" customHeight="1" outlineLevel="1">
      <c r="B120" s="449" t="s">
        <v>181</v>
      </c>
      <c r="C120" s="446"/>
      <c r="D120" s="446"/>
      <c r="E120" s="446"/>
      <c r="F120" s="446"/>
      <c r="G120" s="446"/>
      <c r="H120" s="5"/>
      <c r="I120" s="210">
        <f>ROUND(K60+K61+K62+K63+K64,2)</f>
        <v>0</v>
      </c>
      <c r="J120" s="5"/>
      <c r="K120" s="4"/>
      <c r="L120" s="90"/>
      <c r="M120" s="4"/>
    </row>
    <row r="121" spans="2:14" ht="21" customHeight="1" outlineLevel="1">
      <c r="B121" s="449" t="s">
        <v>182</v>
      </c>
      <c r="C121" s="446"/>
      <c r="D121" s="446"/>
      <c r="E121" s="446"/>
      <c r="F121" s="446"/>
      <c r="G121" s="446"/>
      <c r="H121" s="5"/>
      <c r="I121" s="180">
        <f>90-G60</f>
        <v>90</v>
      </c>
      <c r="J121" s="5"/>
      <c r="K121" s="4"/>
      <c r="L121" s="90"/>
      <c r="M121" s="4"/>
    </row>
    <row r="122" spans="2:14" ht="21" customHeight="1" outlineLevel="1">
      <c r="B122" s="449" t="s">
        <v>183</v>
      </c>
      <c r="C122" s="446"/>
      <c r="D122" s="446"/>
      <c r="E122" s="446"/>
      <c r="F122" s="446"/>
      <c r="G122" s="446"/>
      <c r="H122" s="5"/>
      <c r="I122" s="210">
        <f>ROUND(COS(RADIANS(90-I121))*I120,2)</f>
        <v>0</v>
      </c>
      <c r="J122" s="5"/>
      <c r="K122" s="4"/>
      <c r="L122" s="90"/>
      <c r="M122" s="4"/>
    </row>
    <row r="123" spans="2:14" ht="21" customHeight="1" outlineLevel="1">
      <c r="B123" s="449" t="s">
        <v>184</v>
      </c>
      <c r="C123" s="446"/>
      <c r="D123" s="446"/>
      <c r="E123" s="446"/>
      <c r="F123" s="446"/>
      <c r="G123" s="446"/>
      <c r="H123" s="5"/>
      <c r="I123" s="210">
        <f>SIN(RADIANS(90-I121))*I120</f>
        <v>0</v>
      </c>
      <c r="J123" s="5"/>
      <c r="K123" s="4"/>
      <c r="L123" s="90"/>
      <c r="M123" s="4"/>
    </row>
    <row r="124" spans="2:14" ht="21" customHeight="1" outlineLevel="1">
      <c r="B124" s="478" t="s">
        <v>185</v>
      </c>
      <c r="C124" s="453"/>
      <c r="D124" s="453"/>
      <c r="E124" s="453"/>
      <c r="F124" s="453"/>
      <c r="G124" s="453"/>
      <c r="H124" s="453"/>
      <c r="I124" s="453"/>
      <c r="J124" s="453"/>
      <c r="K124" s="453"/>
      <c r="L124" s="454"/>
      <c r="M124" s="4"/>
    </row>
    <row r="125" spans="2:14" ht="21" customHeight="1" outlineLevel="1">
      <c r="B125" s="450" t="s">
        <v>186</v>
      </c>
      <c r="C125" s="446"/>
      <c r="D125" s="446"/>
      <c r="E125" s="446"/>
      <c r="F125" s="185"/>
      <c r="G125" s="461" t="e">
        <f>CONCATENATE(I120," + ",I119," + ",G87," + ",G88," + ",G81," + ",G85," = ")</f>
        <v>#N/A</v>
      </c>
      <c r="H125" s="446"/>
      <c r="I125" s="210" t="e">
        <f t="shared" ref="I125:I126" si="41">C127</f>
        <v>#N/A</v>
      </c>
      <c r="J125" s="5"/>
      <c r="K125" s="4"/>
      <c r="L125" s="229"/>
      <c r="M125" s="4"/>
    </row>
    <row r="126" spans="2:14" ht="21" customHeight="1" outlineLevel="1">
      <c r="B126" s="450" t="s">
        <v>187</v>
      </c>
      <c r="C126" s="446"/>
      <c r="D126" s="446"/>
      <c r="E126" s="446"/>
      <c r="F126" s="185"/>
      <c r="G126" s="461" t="e">
        <f>CONCATENATE(I122," + ",G87," + ",G88," + ",G82," + ",G84, " = ")</f>
        <v>#N/A</v>
      </c>
      <c r="H126" s="446"/>
      <c r="I126" s="210" t="e">
        <f t="shared" si="41"/>
        <v>#N/A</v>
      </c>
      <c r="J126" s="5"/>
      <c r="K126" s="4"/>
      <c r="L126" s="229"/>
      <c r="M126" s="4"/>
    </row>
    <row r="127" spans="2:14" ht="21" customHeight="1" outlineLevel="1">
      <c r="B127" s="188" t="s">
        <v>146</v>
      </c>
      <c r="C127" s="189" t="e">
        <f>(I120+I119+G87+G88+G81+G85)</f>
        <v>#N/A</v>
      </c>
      <c r="D127" s="1"/>
      <c r="E127" s="191" t="e">
        <f t="shared" ref="E127:E128" si="42">IF(I127&gt;C127,"&lt;","≥")</f>
        <v>#N/A</v>
      </c>
      <c r="F127" s="192"/>
      <c r="G127" s="447" t="s">
        <v>160</v>
      </c>
      <c r="H127" s="446"/>
      <c r="I127" s="194" t="e">
        <f t="shared" ref="I127:I128" si="43">I115</f>
        <v>#N/A</v>
      </c>
      <c r="J127" s="5"/>
      <c r="K127" s="4" t="e">
        <f t="shared" ref="K127:K129" si="44">IF(I127&gt;C127,"Warunek spełniony","błąd")</f>
        <v>#N/A</v>
      </c>
      <c r="L127" s="229"/>
      <c r="M127" s="4"/>
      <c r="N127" s="187" t="e">
        <f t="shared" ref="N127:N128" si="45">(100-(100*C127)/I127)/100</f>
        <v>#N/A</v>
      </c>
    </row>
    <row r="128" spans="2:14" ht="21" customHeight="1" outlineLevel="1">
      <c r="B128" s="188" t="s">
        <v>148</v>
      </c>
      <c r="C128" s="189" t="e">
        <f>I122+G87+G82+G84+G88</f>
        <v>#N/A</v>
      </c>
      <c r="D128" s="190"/>
      <c r="E128" s="191" t="e">
        <f t="shared" si="42"/>
        <v>#N/A</v>
      </c>
      <c r="F128" s="192"/>
      <c r="G128" s="447" t="s">
        <v>162</v>
      </c>
      <c r="H128" s="446"/>
      <c r="I128" s="194" t="e">
        <f t="shared" si="43"/>
        <v>#N/A</v>
      </c>
      <c r="J128" s="5"/>
      <c r="K128" s="4" t="e">
        <f t="shared" si="44"/>
        <v>#N/A</v>
      </c>
      <c r="L128" s="229"/>
      <c r="M128" s="4"/>
      <c r="N128" s="187" t="e">
        <f t="shared" si="45"/>
        <v>#N/A</v>
      </c>
    </row>
    <row r="129" spans="1:39" ht="21" customHeight="1">
      <c r="B129" s="226" t="s">
        <v>150</v>
      </c>
      <c r="C129" s="204" t="e">
        <f>SQRT(C127*C127+C128*C128)</f>
        <v>#N/A</v>
      </c>
      <c r="D129" s="230"/>
      <c r="E129" s="198"/>
      <c r="F129" s="199"/>
      <c r="G129" s="202" t="s">
        <v>151</v>
      </c>
      <c r="H129" s="199"/>
      <c r="I129" s="227" t="e">
        <f>VLOOKUP(G78,SŁUPY!A3:G111,3,0)</f>
        <v>#N/A</v>
      </c>
      <c r="J129" s="201" t="s">
        <v>62</v>
      </c>
      <c r="K129" s="202" t="e">
        <f t="shared" si="44"/>
        <v>#N/A</v>
      </c>
      <c r="L129" s="231"/>
      <c r="M129" s="4" t="s">
        <v>63</v>
      </c>
      <c r="N129" s="187" t="e">
        <f>IF(N127&lt;N128,N127,N128)</f>
        <v>#N/A</v>
      </c>
    </row>
    <row r="130" spans="1:39" ht="21" customHeight="1">
      <c r="B130" s="226" t="s">
        <v>152</v>
      </c>
      <c r="C130" s="204"/>
      <c r="D130" s="230"/>
      <c r="E130" s="198"/>
      <c r="F130" s="199"/>
      <c r="G130" s="202" t="s">
        <v>153</v>
      </c>
      <c r="H130" s="199"/>
      <c r="I130" s="201"/>
      <c r="J130" s="213"/>
      <c r="K130" s="214"/>
      <c r="L130" s="231"/>
      <c r="M130" s="4"/>
      <c r="N130" s="187"/>
    </row>
    <row r="131" spans="1:39" ht="21" customHeight="1" outlineLevel="1">
      <c r="B131" s="477" t="s">
        <v>190</v>
      </c>
      <c r="C131" s="456"/>
      <c r="D131" s="456"/>
      <c r="E131" s="456"/>
      <c r="F131" s="456"/>
      <c r="G131" s="456"/>
      <c r="H131" s="232"/>
      <c r="I131" s="176">
        <f>ROUND(S39,2)</f>
        <v>0</v>
      </c>
      <c r="J131" s="233"/>
      <c r="K131" s="234"/>
      <c r="L131" s="235"/>
      <c r="M131" s="4"/>
    </row>
    <row r="132" spans="1:39" ht="21" customHeight="1" outlineLevel="1">
      <c r="B132" s="449" t="s">
        <v>191</v>
      </c>
      <c r="C132" s="446"/>
      <c r="D132" s="446"/>
      <c r="E132" s="446"/>
      <c r="F132" s="446"/>
      <c r="G132" s="446"/>
      <c r="H132" s="193"/>
      <c r="I132" s="236">
        <f>I99</f>
        <v>0</v>
      </c>
      <c r="J132" s="5"/>
      <c r="K132" s="4"/>
      <c r="L132" s="229"/>
      <c r="M132" s="4"/>
    </row>
    <row r="133" spans="1:39" ht="21" customHeight="1" outlineLevel="1">
      <c r="B133" s="449" t="s">
        <v>192</v>
      </c>
      <c r="C133" s="446"/>
      <c r="D133" s="446"/>
      <c r="E133" s="446"/>
      <c r="F133" s="446"/>
      <c r="G133" s="446"/>
      <c r="H133" s="193"/>
      <c r="I133" s="236">
        <f>E39</f>
        <v>0</v>
      </c>
      <c r="J133" s="236"/>
      <c r="K133" s="4"/>
      <c r="L133" s="229"/>
      <c r="M133" s="4"/>
    </row>
    <row r="134" spans="1:39" ht="21" customHeight="1" outlineLevel="1">
      <c r="B134" s="449" t="s">
        <v>193</v>
      </c>
      <c r="C134" s="446"/>
      <c r="D134" s="446"/>
      <c r="E134" s="446"/>
      <c r="F134" s="446"/>
      <c r="G134" s="446"/>
      <c r="H134" s="210"/>
      <c r="I134" s="237">
        <f>SUM(K44:K59)/2</f>
        <v>0</v>
      </c>
      <c r="J134" s="5"/>
      <c r="K134" s="4"/>
      <c r="L134" s="229"/>
      <c r="M134" s="4"/>
    </row>
    <row r="135" spans="1:39" ht="21" customHeight="1" outlineLevel="1">
      <c r="B135" s="452" t="s">
        <v>194</v>
      </c>
      <c r="C135" s="453"/>
      <c r="D135" s="453"/>
      <c r="E135" s="453"/>
      <c r="F135" s="453"/>
      <c r="G135" s="453"/>
      <c r="H135" s="453"/>
      <c r="I135" s="453"/>
      <c r="J135" s="453"/>
      <c r="K135" s="453"/>
      <c r="L135" s="454"/>
      <c r="M135" s="4"/>
    </row>
    <row r="136" spans="1:39" ht="21" customHeight="1" outlineLevel="1">
      <c r="A136" s="64"/>
      <c r="B136" s="486" t="s">
        <v>195</v>
      </c>
      <c r="C136" s="446"/>
      <c r="D136" s="446"/>
      <c r="E136" s="446"/>
      <c r="F136" s="238"/>
      <c r="G136" s="445" t="e">
        <f>CONCATENATE("2* ",I134," * ","cos(",I132/2, ")", " + ",G87," + ",G88," + ",G85," + ",G81," = ")</f>
        <v>#N/A</v>
      </c>
      <c r="H136" s="446"/>
      <c r="I136" s="186" t="e">
        <f>ABS(ROUNDUP(2*I134*COS(RADIANS(I132/2))+G87+G88+SQRT(G81*G81+G82*G82)+G85,2))</f>
        <v>#N/A</v>
      </c>
      <c r="J136" s="162"/>
      <c r="K136" s="58"/>
      <c r="L136" s="239"/>
      <c r="M136" s="58"/>
      <c r="N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  <c r="AL136" s="64"/>
      <c r="AM136" s="64"/>
    </row>
    <row r="137" spans="1:39" ht="21" customHeight="1" outlineLevel="1">
      <c r="B137" s="450" t="s">
        <v>196</v>
      </c>
      <c r="C137" s="446"/>
      <c r="D137" s="446"/>
      <c r="E137" s="446"/>
      <c r="F137" s="185"/>
      <c r="G137" s="461" t="e">
        <f>CONCATENATE(ABS(ROUND(SIN(RADIANS(I133))*I131,2))," + ",G87, " + ",G88," + ",G85," + ",G81," = ")</f>
        <v>#N/A</v>
      </c>
      <c r="H137" s="446"/>
      <c r="I137" s="210" t="e">
        <f>ABS(ROUND(SIN(RADIANS(I133))*I131,2))+G81+G87+G88+G85</f>
        <v>#N/A</v>
      </c>
      <c r="J137" s="5"/>
      <c r="K137" s="4"/>
      <c r="L137" s="229"/>
      <c r="M137" s="4"/>
    </row>
    <row r="138" spans="1:39" ht="21" customHeight="1" outlineLevel="1">
      <c r="B138" s="485" t="e">
        <f>IF(I136&gt;I137,"przyjęto Pux = Puxg &gt; Puxo","przyjęto Pux = Puxo &gt; Puxg")</f>
        <v>#N/A</v>
      </c>
      <c r="C138" s="446"/>
      <c r="D138" s="446"/>
      <c r="E138" s="446"/>
      <c r="F138" s="446"/>
      <c r="G138" s="446"/>
      <c r="H138" s="446"/>
      <c r="I138" s="5"/>
      <c r="J138" s="5"/>
      <c r="K138" s="4"/>
      <c r="L138" s="229"/>
      <c r="M138" s="4"/>
    </row>
    <row r="139" spans="1:39" ht="21" customHeight="1" outlineLevel="1">
      <c r="B139" s="450" t="s">
        <v>197</v>
      </c>
      <c r="C139" s="446"/>
      <c r="D139" s="446"/>
      <c r="E139" s="446"/>
      <c r="F139" s="185"/>
      <c r="G139" s="461" t="e">
        <f>CONCATENATE(ABS(ROUND(COS(RADIANS(I133))*I131,2))," + ",G82," + ",G84," + ",G87, " + ",G88," = ")</f>
        <v>#N/A</v>
      </c>
      <c r="H139" s="446"/>
      <c r="I139" s="210" t="e">
        <f>C141</f>
        <v>#N/A</v>
      </c>
      <c r="J139" s="5"/>
      <c r="K139" s="4"/>
      <c r="L139" s="229"/>
      <c r="M139" s="4"/>
    </row>
    <row r="140" spans="1:39" ht="21" customHeight="1" outlineLevel="1">
      <c r="B140" s="89" t="s">
        <v>146</v>
      </c>
      <c r="C140" s="189" t="e">
        <f>IF(I136&gt;I137,I136,I137)</f>
        <v>#N/A</v>
      </c>
      <c r="D140" s="190"/>
      <c r="E140" s="191" t="e">
        <f t="shared" ref="E140:E141" si="46">IF(I140&gt;C140,"&lt;","≥")</f>
        <v>#N/A</v>
      </c>
      <c r="F140" s="192"/>
      <c r="G140" s="447" t="s">
        <v>160</v>
      </c>
      <c r="H140" s="446"/>
      <c r="I140" s="194" t="e">
        <f t="shared" ref="I140:I141" si="47">I127</f>
        <v>#N/A</v>
      </c>
      <c r="J140" s="5"/>
      <c r="K140" s="4" t="e">
        <f t="shared" ref="K140:K141" si="48">IF(I140&gt;C140,"Warunek spełniony","błąd")</f>
        <v>#N/A</v>
      </c>
      <c r="L140" s="229"/>
      <c r="M140" s="4"/>
      <c r="N140" s="187" t="e">
        <f t="shared" ref="N140:N141" si="49">(100-(100*C140)/I140)/100</f>
        <v>#N/A</v>
      </c>
    </row>
    <row r="141" spans="1:39" ht="21" customHeight="1" outlineLevel="1">
      <c r="B141" s="89" t="s">
        <v>148</v>
      </c>
      <c r="C141" s="189" t="e">
        <f>ABS(ROUND(COS(RADIANS(I133))*I131,2))+G82+G84+G87+G88</f>
        <v>#N/A</v>
      </c>
      <c r="D141" s="190"/>
      <c r="E141" s="191" t="e">
        <f t="shared" si="46"/>
        <v>#N/A</v>
      </c>
      <c r="F141" s="192"/>
      <c r="G141" s="447" t="s">
        <v>162</v>
      </c>
      <c r="H141" s="446"/>
      <c r="I141" s="194" t="e">
        <f t="shared" si="47"/>
        <v>#N/A</v>
      </c>
      <c r="J141" s="5"/>
      <c r="K141" s="4" t="e">
        <f t="shared" si="48"/>
        <v>#N/A</v>
      </c>
      <c r="L141" s="229"/>
      <c r="M141" s="4" t="s">
        <v>200</v>
      </c>
      <c r="N141" s="187" t="e">
        <f t="shared" si="49"/>
        <v>#N/A</v>
      </c>
    </row>
    <row r="142" spans="1:39" ht="21" customHeight="1">
      <c r="B142" s="226" t="s">
        <v>201</v>
      </c>
      <c r="C142" s="204" t="e">
        <f>SQRT(C140*C140+C141*C141)</f>
        <v>#N/A</v>
      </c>
      <c r="D142" s="230"/>
      <c r="E142" s="198"/>
      <c r="F142" s="199"/>
      <c r="G142" s="202" t="s">
        <v>202</v>
      </c>
      <c r="H142" s="199"/>
      <c r="I142" s="227" t="e">
        <f>VLOOKUP(G78,SŁUPY!A3:G111,3,0)</f>
        <v>#N/A</v>
      </c>
      <c r="J142" s="213" t="s">
        <v>62</v>
      </c>
      <c r="K142" s="214" t="e">
        <f>IF(I142&gt;C140,"Warunek spełniony","błąd")</f>
        <v>#N/A</v>
      </c>
      <c r="L142" s="231"/>
      <c r="M142" s="4" t="s">
        <v>200</v>
      </c>
      <c r="N142" s="187" t="e">
        <f>IF(N140&lt;N141,N140,N141)</f>
        <v>#N/A</v>
      </c>
    </row>
    <row r="143" spans="1:39" ht="21" customHeight="1">
      <c r="B143" s="226" t="s">
        <v>152</v>
      </c>
      <c r="C143" s="204"/>
      <c r="D143" s="230"/>
      <c r="E143" s="198"/>
      <c r="F143" s="199"/>
      <c r="G143" s="202" t="s">
        <v>153</v>
      </c>
      <c r="H143" s="199"/>
      <c r="I143" s="201">
        <v>1000</v>
      </c>
      <c r="J143" s="213" t="s">
        <v>62</v>
      </c>
      <c r="K143" s="214" t="e">
        <f>IF(I143&gt;C142,"Warunek spełniony","błąd")</f>
        <v>#N/A</v>
      </c>
      <c r="L143" s="231"/>
      <c r="M143" s="4"/>
      <c r="N143" s="187"/>
    </row>
    <row r="144" spans="1:39" ht="21" customHeight="1" outlineLevel="1">
      <c r="B144" s="455" t="s">
        <v>203</v>
      </c>
      <c r="C144" s="456"/>
      <c r="D144" s="456"/>
      <c r="E144" s="456"/>
      <c r="F144" s="456"/>
      <c r="G144" s="456"/>
      <c r="H144" s="176"/>
      <c r="I144" s="176">
        <f>ROUND((L44*H44+L45*H45+L47*H47+H46*L46+L48*H48+L49*H49+L50*H50+L51*H51+L52*H52+L53*H53+L54*H54+L55*H55+L56*H56+L57*H57+L58*H58+L59*H59)/2,2)</f>
        <v>0</v>
      </c>
      <c r="J144" s="228"/>
      <c r="K144" s="178"/>
      <c r="L144" s="88"/>
      <c r="M144" s="4"/>
    </row>
    <row r="145" spans="2:16" ht="21" customHeight="1" outlineLevel="1">
      <c r="B145" s="449" t="s">
        <v>204</v>
      </c>
      <c r="C145" s="446"/>
      <c r="D145" s="446"/>
      <c r="E145" s="446"/>
      <c r="F145" s="446"/>
      <c r="G145" s="446"/>
      <c r="H145" s="210"/>
      <c r="I145" s="210">
        <f>IF(OR(SUM(D3:D10)=SUM(D11:D18),SUM(D3:D10)&gt;SUM(D11:D18)),ROUND(SUM(D3:D10),1),ROUND(SUM(D11:D18),1))</f>
        <v>0</v>
      </c>
      <c r="J145" s="5"/>
      <c r="K145" s="4"/>
      <c r="L145" s="90"/>
      <c r="M145" s="4"/>
    </row>
    <row r="146" spans="2:16" ht="21" customHeight="1" outlineLevel="1">
      <c r="B146" s="452" t="s">
        <v>205</v>
      </c>
      <c r="C146" s="453"/>
      <c r="D146" s="453"/>
      <c r="E146" s="453"/>
      <c r="F146" s="453"/>
      <c r="G146" s="453"/>
      <c r="H146" s="453"/>
      <c r="I146" s="453"/>
      <c r="J146" s="453"/>
      <c r="K146" s="453"/>
      <c r="L146" s="454"/>
      <c r="M146" s="4"/>
    </row>
    <row r="147" spans="2:16" ht="21" customHeight="1" outlineLevel="1">
      <c r="B147" s="450" t="s">
        <v>206</v>
      </c>
      <c r="C147" s="446"/>
      <c r="D147" s="446"/>
      <c r="E147" s="446"/>
      <c r="F147" s="185"/>
      <c r="G147" s="465" t="str">
        <f>IF(OR(SUM(D3:D10)=SUM(D11:D18),SUM(D3:D10)&gt;SUM(D11:D18)),CONCATENATE(ROUND(2/3*SUM(D3:D10),1)," + ",G81," = "),CONCATENATE(ROUND(2/3*SUM(D11:D18),1)," + ",G81," = "))</f>
        <v xml:space="preserve">0 + 0 = </v>
      </c>
      <c r="H147" s="446"/>
      <c r="I147" s="210">
        <f t="shared" ref="I147:I148" si="50">C150</f>
        <v>0</v>
      </c>
      <c r="J147" s="5"/>
      <c r="K147" s="240"/>
      <c r="L147" s="90"/>
      <c r="M147" s="4"/>
    </row>
    <row r="148" spans="2:16" ht="21" customHeight="1" outlineLevel="1">
      <c r="B148" s="450" t="s">
        <v>207</v>
      </c>
      <c r="C148" s="446"/>
      <c r="D148" s="446"/>
      <c r="E148" s="446"/>
      <c r="F148" s="185"/>
      <c r="G148" s="461" t="e">
        <f>CONCATENATE(ROUND(COS(RADIANS(I132/2)),2)*I145," + ",I144," + ",G84," + ",G87, " + ",G88," + ",G82," = ")</f>
        <v>#N/A</v>
      </c>
      <c r="H148" s="446"/>
      <c r="I148" s="210" t="e">
        <f t="shared" si="50"/>
        <v>#N/A</v>
      </c>
      <c r="J148" s="5"/>
      <c r="K148" s="4"/>
      <c r="L148" s="90"/>
      <c r="M148" s="4"/>
    </row>
    <row r="149" spans="2:16" ht="21" customHeight="1" outlineLevel="1">
      <c r="B149" s="211"/>
      <c r="C149" s="241"/>
      <c r="D149" s="241"/>
      <c r="E149" s="241"/>
      <c r="F149" s="185"/>
      <c r="G149" s="85"/>
      <c r="H149" s="5"/>
      <c r="I149" s="210"/>
      <c r="J149" s="5"/>
      <c r="K149" s="4"/>
      <c r="L149" s="90"/>
      <c r="M149" s="4"/>
    </row>
    <row r="150" spans="2:16" ht="21" customHeight="1" outlineLevel="1">
      <c r="B150" s="89" t="s">
        <v>146</v>
      </c>
      <c r="C150" s="189">
        <f>ROUND(2/3*MAX(SUM(D3:D10),SUM(D11:D18))+G81,1)</f>
        <v>0</v>
      </c>
      <c r="D150" s="190"/>
      <c r="E150" s="191" t="e">
        <f t="shared" ref="E150:E151" si="51">IF(I150&gt;C150,"&lt;","≥")</f>
        <v>#N/A</v>
      </c>
      <c r="F150" s="192"/>
      <c r="G150" s="447" t="s">
        <v>160</v>
      </c>
      <c r="H150" s="446"/>
      <c r="I150" s="194" t="e">
        <f t="shared" ref="I150:I151" si="52">I140</f>
        <v>#N/A</v>
      </c>
      <c r="J150" s="5"/>
      <c r="K150" s="4" t="e">
        <f t="shared" ref="K150:K153" si="53">IF(I150&gt;C150,"Warunek spełniony","błąd")</f>
        <v>#N/A</v>
      </c>
      <c r="L150" s="90"/>
      <c r="M150" s="4"/>
      <c r="N150" s="187" t="e">
        <f t="shared" ref="N150:N151" si="54">(100-(100*C150)/I150)/100</f>
        <v>#N/A</v>
      </c>
    </row>
    <row r="151" spans="2:16" ht="21" customHeight="1" outlineLevel="1">
      <c r="B151" s="89" t="s">
        <v>148</v>
      </c>
      <c r="C151" s="189" t="e">
        <f>COS(RADIANS(I132/2))*I145+I144+G84+G87+G82+G88</f>
        <v>#N/A</v>
      </c>
      <c r="D151" s="190"/>
      <c r="E151" s="191" t="e">
        <f t="shared" si="51"/>
        <v>#N/A</v>
      </c>
      <c r="F151" s="192"/>
      <c r="G151" s="447" t="s">
        <v>162</v>
      </c>
      <c r="H151" s="446"/>
      <c r="I151" s="194" t="e">
        <f t="shared" si="52"/>
        <v>#N/A</v>
      </c>
      <c r="J151" s="5"/>
      <c r="K151" s="4" t="e">
        <f t="shared" si="53"/>
        <v>#N/A</v>
      </c>
      <c r="L151" s="90"/>
      <c r="M151" s="4"/>
      <c r="N151" s="187" t="e">
        <f t="shared" si="54"/>
        <v>#N/A</v>
      </c>
    </row>
    <row r="152" spans="2:16" ht="21" customHeight="1">
      <c r="B152" s="195" t="s">
        <v>210</v>
      </c>
      <c r="C152" s="196">
        <f t="shared" ref="C152:C153" si="55">C150</f>
        <v>0</v>
      </c>
      <c r="D152" s="204"/>
      <c r="E152" s="242"/>
      <c r="F152" s="202"/>
      <c r="G152" s="202" t="s">
        <v>177</v>
      </c>
      <c r="H152" s="202"/>
      <c r="I152" s="200" t="e">
        <f>VLOOKUP(G78,SŁUPY!A3:G111,3,0)</f>
        <v>#N/A</v>
      </c>
      <c r="J152" s="201"/>
      <c r="K152" s="202" t="e">
        <f t="shared" si="53"/>
        <v>#N/A</v>
      </c>
      <c r="L152" s="243"/>
      <c r="M152" s="4"/>
      <c r="N152" s="187"/>
    </row>
    <row r="153" spans="2:16" ht="21" customHeight="1">
      <c r="B153" s="244" t="s">
        <v>211</v>
      </c>
      <c r="C153" s="196" t="e">
        <f t="shared" si="55"/>
        <v>#N/A</v>
      </c>
      <c r="D153" s="204"/>
      <c r="E153" s="242"/>
      <c r="F153" s="202"/>
      <c r="G153" s="202" t="s">
        <v>179</v>
      </c>
      <c r="H153" s="202"/>
      <c r="I153" s="200" t="e">
        <f>VLOOKUP(G78,SŁUPY!A3:G111,3,0)</f>
        <v>#N/A</v>
      </c>
      <c r="J153" s="201"/>
      <c r="K153" s="202" t="e">
        <f t="shared" si="53"/>
        <v>#N/A</v>
      </c>
      <c r="L153" s="243"/>
      <c r="M153" s="4" t="s">
        <v>212</v>
      </c>
      <c r="N153" s="187" t="e">
        <f>IF(N150&lt;N151,N150,N151)</f>
        <v>#N/A</v>
      </c>
    </row>
    <row r="154" spans="2:16" ht="21" customHeight="1" outlineLevel="1">
      <c r="B154" s="455" t="s">
        <v>213</v>
      </c>
      <c r="C154" s="456"/>
      <c r="D154" s="456"/>
      <c r="E154" s="456"/>
      <c r="F154" s="456"/>
      <c r="G154" s="456"/>
      <c r="H154" s="245"/>
      <c r="I154" s="246">
        <f>ROUNDUP(ROUND(SUM(R24:R34),3)*0.2,2)</f>
        <v>0</v>
      </c>
      <c r="J154" s="228"/>
      <c r="K154" s="178"/>
      <c r="L154" s="88"/>
      <c r="M154" s="4"/>
    </row>
    <row r="155" spans="2:16" ht="21" customHeight="1" outlineLevel="1">
      <c r="B155" s="449" t="s">
        <v>214</v>
      </c>
      <c r="C155" s="446"/>
      <c r="D155" s="446"/>
      <c r="E155" s="446"/>
      <c r="F155" s="446"/>
      <c r="G155" s="446"/>
      <c r="H155" s="225"/>
      <c r="I155" s="237">
        <f>ROUND((L44*H44+L45*H45+L47*H47+H46*L46+L48*H48+L49*H49+L50*H50+L51*H51+L52*H52+L53*H53+L54*H54+L55*H55+L56*H56+L57*H57+L58*H58+L59*H59)/2,2)</f>
        <v>0</v>
      </c>
      <c r="J155" s="5"/>
      <c r="K155" s="4"/>
      <c r="L155" s="90"/>
      <c r="M155" s="4"/>
    </row>
    <row r="156" spans="2:16" ht="21" customHeight="1" outlineLevel="1">
      <c r="B156" s="452" t="s">
        <v>215</v>
      </c>
      <c r="C156" s="453"/>
      <c r="D156" s="453"/>
      <c r="E156" s="453"/>
      <c r="F156" s="453"/>
      <c r="G156" s="453"/>
      <c r="H156" s="453"/>
      <c r="I156" s="453"/>
      <c r="J156" s="453"/>
      <c r="K156" s="453"/>
      <c r="L156" s="454"/>
      <c r="M156" s="4"/>
    </row>
    <row r="157" spans="2:16" ht="21" customHeight="1" outlineLevel="1">
      <c r="B157" s="450" t="s">
        <v>216</v>
      </c>
      <c r="C157" s="446"/>
      <c r="D157" s="446"/>
      <c r="E157" s="446"/>
      <c r="F157" s="185"/>
      <c r="G157" s="461" t="e">
        <f>CONCATENATE(I155," + ",G87," + ",G88," + ",I154, " + ",G85," = ")</f>
        <v>#N/A</v>
      </c>
      <c r="H157" s="446"/>
      <c r="I157" s="210" t="e">
        <f>C159</f>
        <v>#N/A</v>
      </c>
      <c r="J157" s="5"/>
      <c r="K157" s="247" t="e">
        <f>ROUNDUP(2*G85/3,2)</f>
        <v>#N/A</v>
      </c>
      <c r="L157" s="90"/>
      <c r="M157" s="4"/>
      <c r="P157" s="248"/>
    </row>
    <row r="158" spans="2:16" ht="21" customHeight="1" outlineLevel="1">
      <c r="B158" s="450" t="s">
        <v>217</v>
      </c>
      <c r="C158" s="446"/>
      <c r="D158" s="446"/>
      <c r="E158" s="446"/>
      <c r="F158" s="185"/>
      <c r="G158" s="461" t="e">
        <f>CONCATENATE(G84," + ",G87, " + ",G88," = ")</f>
        <v>#N/A</v>
      </c>
      <c r="H158" s="446"/>
      <c r="I158" s="210" t="e">
        <f t="shared" ref="I158" si="56">C160</f>
        <v>#N/A</v>
      </c>
      <c r="J158" s="5"/>
      <c r="K158" s="4"/>
      <c r="L158" s="90"/>
      <c r="M158" s="4"/>
      <c r="P158" s="248"/>
    </row>
    <row r="159" spans="2:16" ht="21" customHeight="1" outlineLevel="1">
      <c r="B159" s="89" t="s">
        <v>146</v>
      </c>
      <c r="C159" s="189" t="e">
        <f>I155+G87+I154+G85+G88</f>
        <v>#N/A</v>
      </c>
      <c r="D159" s="190"/>
      <c r="E159" s="191" t="e">
        <f t="shared" ref="E159:E160" si="57">IF(I159&gt;C159,"&lt;","≥")</f>
        <v>#N/A</v>
      </c>
      <c r="F159" s="192"/>
      <c r="G159" s="447" t="s">
        <v>160</v>
      </c>
      <c r="H159" s="446"/>
      <c r="I159" s="194" t="e">
        <f t="shared" ref="I159:I160" si="58">I150</f>
        <v>#N/A</v>
      </c>
      <c r="J159" s="5"/>
      <c r="K159" s="4" t="e">
        <f t="shared" ref="K159:K161" si="59">IF(I159&gt;C159,"Warunek spełniony","błąd")</f>
        <v>#N/A</v>
      </c>
      <c r="L159" s="90"/>
      <c r="M159" s="4"/>
      <c r="N159" s="187" t="e">
        <f t="shared" ref="N159:N160" si="60">(100-(100*C159)/I159)/100</f>
        <v>#N/A</v>
      </c>
    </row>
    <row r="160" spans="2:16" ht="21" customHeight="1" outlineLevel="1">
      <c r="B160" s="89" t="s">
        <v>148</v>
      </c>
      <c r="C160" s="189" t="e">
        <f>G84+G87+G88</f>
        <v>#N/A</v>
      </c>
      <c r="D160" s="190"/>
      <c r="E160" s="191" t="e">
        <f t="shared" si="57"/>
        <v>#N/A</v>
      </c>
      <c r="F160" s="192"/>
      <c r="G160" s="447" t="s">
        <v>162</v>
      </c>
      <c r="H160" s="446"/>
      <c r="I160" s="194" t="e">
        <f t="shared" si="58"/>
        <v>#N/A</v>
      </c>
      <c r="J160" s="5"/>
      <c r="K160" s="4" t="e">
        <f t="shared" si="59"/>
        <v>#N/A</v>
      </c>
      <c r="L160" s="90"/>
      <c r="M160" s="4"/>
      <c r="N160" s="187" t="e">
        <f t="shared" si="60"/>
        <v>#N/A</v>
      </c>
    </row>
    <row r="161" spans="2:21" ht="21" customHeight="1">
      <c r="B161" s="226" t="s">
        <v>150</v>
      </c>
      <c r="C161" s="196" t="e">
        <f>ROUNDUP(IF(C159&gt;C160,C159,C160),2)</f>
        <v>#N/A</v>
      </c>
      <c r="D161" s="204"/>
      <c r="E161" s="242"/>
      <c r="F161" s="202"/>
      <c r="G161" s="202" t="s">
        <v>151</v>
      </c>
      <c r="H161" s="202"/>
      <c r="I161" s="200" t="e">
        <f>VLOOKUP(G78,SŁUPY!A3:G111,3,0)</f>
        <v>#N/A</v>
      </c>
      <c r="J161" s="201"/>
      <c r="K161" s="202" t="e">
        <f t="shared" si="59"/>
        <v>#N/A</v>
      </c>
      <c r="L161" s="243"/>
      <c r="M161" s="4" t="s">
        <v>125</v>
      </c>
      <c r="N161" s="187" t="e">
        <f>IF(N159&lt;N160,N159,N160)</f>
        <v>#N/A</v>
      </c>
    </row>
    <row r="162" spans="2:21" ht="21" customHeight="1">
      <c r="B162" s="226" t="s">
        <v>152</v>
      </c>
      <c r="C162" s="204"/>
      <c r="D162" s="204"/>
      <c r="E162" s="242"/>
      <c r="F162" s="202"/>
      <c r="G162" s="202" t="s">
        <v>153</v>
      </c>
      <c r="H162" s="202"/>
      <c r="I162" s="249"/>
      <c r="J162" s="201"/>
      <c r="K162" s="202"/>
      <c r="L162" s="243"/>
      <c r="M162" s="4"/>
      <c r="N162" s="187"/>
    </row>
    <row r="163" spans="2:21" ht="21" customHeight="1" outlineLevel="1">
      <c r="B163" s="466" t="s">
        <v>220</v>
      </c>
      <c r="C163" s="456"/>
      <c r="D163" s="456"/>
      <c r="E163" s="456"/>
      <c r="F163" s="174"/>
      <c r="G163" s="174"/>
      <c r="H163" s="175"/>
      <c r="I163" s="176">
        <f>SUM(K44:K51)</f>
        <v>0</v>
      </c>
      <c r="J163" s="177"/>
      <c r="K163" s="178"/>
      <c r="L163" s="88"/>
      <c r="M163" s="5"/>
    </row>
    <row r="164" spans="2:21" ht="21" customHeight="1" outlineLevel="1">
      <c r="B164" s="457" t="s">
        <v>221</v>
      </c>
      <c r="C164" s="446"/>
      <c r="D164" s="446"/>
      <c r="E164" s="446"/>
      <c r="F164" s="70"/>
      <c r="G164" s="70"/>
      <c r="H164" s="179"/>
      <c r="I164" s="180">
        <f>E40</f>
        <v>0</v>
      </c>
      <c r="J164" s="181"/>
      <c r="K164" s="4"/>
      <c r="L164" s="90"/>
      <c r="M164" s="5"/>
    </row>
    <row r="165" spans="2:21" ht="21" customHeight="1" outlineLevel="1">
      <c r="B165" s="457" t="s">
        <v>222</v>
      </c>
      <c r="C165" s="446"/>
      <c r="D165" s="446"/>
      <c r="E165" s="446"/>
      <c r="F165" s="70"/>
      <c r="G165" s="70"/>
      <c r="H165" s="179"/>
      <c r="I165" s="210">
        <f>SUM(K60:K64)</f>
        <v>0</v>
      </c>
      <c r="J165" s="181"/>
      <c r="K165" s="4"/>
      <c r="L165" s="90"/>
      <c r="M165" s="5"/>
    </row>
    <row r="166" spans="2:21" ht="21" customHeight="1" outlineLevel="1">
      <c r="B166" s="457" t="s">
        <v>223</v>
      </c>
      <c r="C166" s="446"/>
      <c r="D166" s="446"/>
      <c r="E166" s="446"/>
      <c r="F166" s="70"/>
      <c r="G166" s="70"/>
      <c r="H166" s="179"/>
      <c r="I166" s="180">
        <f>E39</f>
        <v>0</v>
      </c>
      <c r="J166" s="181"/>
      <c r="K166" s="4"/>
      <c r="L166" s="90"/>
      <c r="M166" s="5"/>
    </row>
    <row r="167" spans="2:21" ht="21" customHeight="1" outlineLevel="1">
      <c r="B167" s="452" t="s">
        <v>224</v>
      </c>
      <c r="C167" s="468"/>
      <c r="D167" s="468"/>
      <c r="E167" s="468"/>
      <c r="F167" s="468"/>
      <c r="G167" s="468"/>
      <c r="H167" s="468"/>
      <c r="I167" s="468"/>
      <c r="J167" s="468"/>
      <c r="K167" s="468"/>
      <c r="L167" s="469"/>
      <c r="M167" s="4"/>
      <c r="P167" s="184"/>
    </row>
    <row r="168" spans="2:21" ht="21" customHeight="1" outlineLevel="1">
      <c r="B168" s="467" t="s">
        <v>225</v>
      </c>
      <c r="C168" s="446"/>
      <c r="D168" s="446"/>
      <c r="E168" s="446"/>
      <c r="F168" s="185"/>
      <c r="G168" s="445" t="str">
        <f>IF(OR(AND(88&lt;E40,E40&lt;92),(AND(-92&lt;E40,E40&lt;-88))),
CONCATENATE(" = ",SUM(K44:K51)," + ",G81," + ",ROUND(ABS(SIN(RADIANS(I166)))*SUM(K60:K64),2)," = "),
CONCATENATE(" = "," | ",
ROUND((SIN(RADIANS(E40 )))*SUM(K44:K51  ),2)," + ",
ROUND((SIN(RADIANS(I166)))*SUM(K60:K64),2)," | "," + ",G81," == "))</f>
        <v xml:space="preserve"> =  | 0 + 0 |  + 0 == </v>
      </c>
      <c r="H168" s="446"/>
      <c r="I168" s="186">
        <f t="shared" ref="I168:I169" si="61">C170</f>
        <v>0</v>
      </c>
      <c r="J168" s="181"/>
      <c r="K168" s="4"/>
      <c r="L168" s="90"/>
      <c r="M168" s="4"/>
    </row>
    <row r="169" spans="2:21" ht="21" customHeight="1" outlineLevel="1">
      <c r="B169" s="467" t="s">
        <v>226</v>
      </c>
      <c r="C169" s="446"/>
      <c r="D169" s="446"/>
      <c r="E169" s="446"/>
      <c r="F169" s="185"/>
      <c r="G169" s="445" t="e">
        <f>IF(OR(AND(88&lt;E40,E40&lt;92),(AND(-92&lt;E40,E40&lt;-88))),
CONCATENATE(" = ",G82," + ",G84," + ",G87," + ",G88," + ",G86," + ",ROUND(ABS(COS(RADIANS(I166)))*SUM(K60:K64),2)," = "),
CONCATENATE(" = "," | ",(ROUND(COS(RADIANS(E40))*SUM(K44:K51),2))," + ",ROUND((COS(RADIANS(I166)))*SUM(K60:K64),2)," | "," + ",G82," + ",G84," + ",G87," + ",G88," + ",G86," + "," == "))</f>
        <v>#N/A</v>
      </c>
      <c r="H169" s="446"/>
      <c r="I169" s="186" t="e">
        <f t="shared" si="61"/>
        <v>#N/A</v>
      </c>
      <c r="J169" s="181"/>
      <c r="K169" s="4"/>
      <c r="L169" s="90"/>
      <c r="M169" s="4"/>
      <c r="N169" s="187"/>
      <c r="P169" t="s">
        <v>145</v>
      </c>
    </row>
    <row r="170" spans="2:21" ht="21" customHeight="1" outlineLevel="1">
      <c r="B170" s="188" t="s">
        <v>146</v>
      </c>
      <c r="C170" s="189">
        <f>IF(OR(AND(88&lt;E40,E40&lt;92),(AND(-92&lt;E40,E40&lt;-88))),
ABS(ROUND(
SUM(K44:K51)+
SIN(RADIANS(I166))*SUM(K60:K64),2)+G81),
ABS(ROUND(
SIN(RADIANS(E40))*SUM(K44:K51)+
SIN(RADIANS(I166))*SUM(K60:K64),2)+G81)
)</f>
        <v>0</v>
      </c>
      <c r="D170" s="190"/>
      <c r="E170" s="191" t="e">
        <f t="shared" ref="E170:E171" si="62">IF(I170&gt;C170,"&lt;","≥")</f>
        <v>#N/A</v>
      </c>
      <c r="F170" s="192"/>
      <c r="G170" s="447" t="s">
        <v>147</v>
      </c>
      <c r="H170" s="446"/>
      <c r="I170" s="194" t="e">
        <f>VLOOKUP(G78,SŁUPY!A3:G111,2,0)</f>
        <v>#N/A</v>
      </c>
      <c r="J170" s="5"/>
      <c r="K170" s="4" t="e">
        <f t="shared" ref="K170:K172" si="63">IF(I170&gt;C170,"Warunek spełniony","błąd")</f>
        <v>#N/A</v>
      </c>
      <c r="L170" s="90"/>
      <c r="M170" s="4"/>
      <c r="N170" s="187" t="e">
        <f t="shared" ref="N170:N171" si="64">(100-(100*C170)/I170)/100</f>
        <v>#N/A</v>
      </c>
    </row>
    <row r="171" spans="2:21" ht="21" customHeight="1" outlineLevel="1">
      <c r="B171" s="188" t="s">
        <v>148</v>
      </c>
      <c r="C171" s="189" t="e">
        <f>IF(
OR(AND(88&lt;E40,E40&lt;92),(AND(-92&lt;E40,E40&lt;-88))),
(G82+G84+G87+G88+G86+
ABS(ROUND((COS(RADIANS(I166)))*SUM(K60:K64),2))),
(
ABS(
ROUND(
COS(RADIANS(E40))*SUM(K44:K51)+
COS(RADIANS(I166))*SUM(K60:K64),
2))
+G82+G84+G87+G88+G86
)
)</f>
        <v>#N/A</v>
      </c>
      <c r="D171" s="190"/>
      <c r="E171" s="191" t="e">
        <f t="shared" si="62"/>
        <v>#N/A</v>
      </c>
      <c r="F171" s="192"/>
      <c r="G171" s="447" t="s">
        <v>149</v>
      </c>
      <c r="H171" s="446"/>
      <c r="I171" s="194" t="e">
        <f>VLOOKUP(G78,SŁUPY!A3:G111,3,0)</f>
        <v>#N/A</v>
      </c>
      <c r="J171" s="5"/>
      <c r="K171" s="4" t="e">
        <f t="shared" si="63"/>
        <v>#N/A</v>
      </c>
      <c r="L171" s="90"/>
      <c r="M171" s="4"/>
      <c r="N171" s="187" t="e">
        <f t="shared" si="64"/>
        <v>#N/A</v>
      </c>
    </row>
    <row r="172" spans="2:21" ht="21" customHeight="1">
      <c r="B172" s="195" t="s">
        <v>150</v>
      </c>
      <c r="C172" s="196" t="e">
        <f>SQRT(C170^2+C171^2)</f>
        <v>#N/A</v>
      </c>
      <c r="D172" s="197"/>
      <c r="E172" s="198"/>
      <c r="F172" s="199"/>
      <c r="G172" s="202" t="s">
        <v>151</v>
      </c>
      <c r="H172" s="199"/>
      <c r="I172" s="227" t="e">
        <f>VLOOKUP(G78,SŁUPY!A3:G111,3,0)</f>
        <v>#N/A</v>
      </c>
      <c r="J172" s="201" t="s">
        <v>62</v>
      </c>
      <c r="K172" s="202" t="e">
        <f t="shared" si="63"/>
        <v>#N/A</v>
      </c>
      <c r="L172" s="203"/>
      <c r="M172" s="4" t="s">
        <v>229</v>
      </c>
      <c r="N172" s="187" t="e">
        <f>IF(N170&lt;N171,N170,N171)</f>
        <v>#N/A</v>
      </c>
    </row>
    <row r="173" spans="2:21" ht="21" customHeight="1">
      <c r="B173" s="195" t="s">
        <v>152</v>
      </c>
      <c r="C173" s="204"/>
      <c r="D173" s="197"/>
      <c r="E173" s="198"/>
      <c r="F173" s="199"/>
      <c r="G173" s="202" t="s">
        <v>153</v>
      </c>
      <c r="H173" s="199"/>
      <c r="I173" s="205"/>
      <c r="J173" s="206"/>
      <c r="K173" s="199"/>
      <c r="L173" s="203"/>
      <c r="M173" s="4"/>
      <c r="N173" s="187"/>
      <c r="U173" s="184"/>
    </row>
    <row r="174" spans="2:21" ht="21" customHeight="1">
      <c r="B174" s="2"/>
      <c r="C174" s="2"/>
      <c r="D174" s="2"/>
      <c r="E174" s="2"/>
      <c r="F174" s="4"/>
      <c r="G174" s="4"/>
      <c r="H174" s="4"/>
      <c r="I174" s="4"/>
      <c r="J174" s="4"/>
      <c r="K174" s="4"/>
      <c r="L174" s="4"/>
      <c r="M174" s="5"/>
      <c r="N174" s="187"/>
    </row>
    <row r="175" spans="2:21" ht="21" customHeight="1">
      <c r="B175" s="2"/>
      <c r="C175" s="2"/>
      <c r="D175" s="2"/>
      <c r="E175" s="2"/>
      <c r="F175" s="4"/>
      <c r="G175" s="4"/>
      <c r="H175" s="4"/>
      <c r="I175" s="4"/>
      <c r="J175" s="4"/>
      <c r="K175" s="4"/>
      <c r="L175" s="4"/>
      <c r="M175" s="5"/>
      <c r="N175" s="187"/>
    </row>
    <row r="176" spans="2:21" ht="21" customHeight="1">
      <c r="B176" s="2"/>
      <c r="C176" s="2"/>
      <c r="D176" s="2"/>
      <c r="E176" s="2"/>
      <c r="F176" s="4"/>
      <c r="G176" s="4"/>
      <c r="H176" s="4"/>
      <c r="I176" s="4"/>
      <c r="J176" s="4"/>
      <c r="K176" s="4"/>
      <c r="L176" s="4"/>
      <c r="M176" s="5"/>
      <c r="N176" s="187"/>
    </row>
    <row r="177" spans="2:14" ht="21" customHeight="1">
      <c r="B177" s="2"/>
      <c r="C177" s="2"/>
      <c r="D177" s="2"/>
      <c r="E177" s="2"/>
      <c r="F177" s="4"/>
      <c r="G177" s="4"/>
      <c r="H177" s="4"/>
      <c r="I177" s="4"/>
      <c r="J177" s="4"/>
      <c r="K177" s="4"/>
      <c r="L177" s="4"/>
      <c r="M177" s="5"/>
      <c r="N177" s="187"/>
    </row>
    <row r="178" spans="2:14" ht="21" customHeight="1">
      <c r="B178" s="2"/>
      <c r="C178" s="2"/>
      <c r="D178" s="2"/>
      <c r="E178" s="2"/>
      <c r="F178" s="4"/>
      <c r="G178" s="4"/>
      <c r="H178" s="4"/>
      <c r="I178" s="4"/>
      <c r="J178" s="4"/>
      <c r="K178" s="4"/>
      <c r="L178" s="4"/>
      <c r="M178" s="5"/>
      <c r="N178" s="187"/>
    </row>
    <row r="179" spans="2:14" ht="21" customHeight="1">
      <c r="B179" s="2"/>
      <c r="C179" s="2"/>
      <c r="D179" s="2"/>
      <c r="E179" s="2"/>
      <c r="F179" s="4"/>
      <c r="G179" s="4"/>
      <c r="H179" s="4"/>
      <c r="I179" s="4"/>
      <c r="J179" s="4"/>
      <c r="K179" s="4"/>
      <c r="L179" s="4"/>
      <c r="M179" s="5"/>
      <c r="N179" s="187"/>
    </row>
    <row r="180" spans="2:14" ht="21" customHeight="1">
      <c r="B180" s="451"/>
      <c r="C180" s="446"/>
      <c r="D180" s="446"/>
      <c r="E180" s="446"/>
      <c r="F180" s="446"/>
      <c r="G180" s="446"/>
      <c r="H180" s="446"/>
      <c r="I180" s="193"/>
      <c r="J180" s="193"/>
      <c r="K180" s="4"/>
      <c r="L180" s="4"/>
      <c r="M180" s="5"/>
    </row>
    <row r="181" spans="2:14" ht="21" customHeight="1">
      <c r="B181" s="451"/>
      <c r="C181" s="446"/>
      <c r="D181" s="446"/>
      <c r="E181" s="446"/>
      <c r="F181" s="446"/>
      <c r="G181" s="446"/>
      <c r="H181" s="446"/>
      <c r="I181" s="193"/>
      <c r="J181" s="193"/>
      <c r="K181" s="4"/>
      <c r="L181" s="4"/>
      <c r="M181" s="5"/>
    </row>
    <row r="182" spans="2:14" ht="21" customHeight="1">
      <c r="B182" s="2"/>
      <c r="C182" s="2"/>
      <c r="D182" s="2"/>
      <c r="E182" s="2"/>
      <c r="F182" s="4"/>
      <c r="G182" s="4"/>
      <c r="H182" s="5"/>
      <c r="I182" s="5"/>
      <c r="J182" s="5"/>
      <c r="K182" s="4"/>
      <c r="L182" s="4"/>
      <c r="M182" s="5"/>
    </row>
    <row r="183" spans="2:14" ht="21" customHeight="1">
      <c r="B183" s="2"/>
      <c r="C183" s="2"/>
      <c r="D183" s="2"/>
      <c r="E183" s="2"/>
      <c r="F183" s="4"/>
      <c r="G183" s="70" t="s">
        <v>230</v>
      </c>
      <c r="H183" s="250"/>
      <c r="I183" s="250" t="s">
        <v>231</v>
      </c>
      <c r="J183" s="5"/>
      <c r="K183" s="4"/>
      <c r="L183" s="4"/>
      <c r="M183" s="5"/>
    </row>
    <row r="184" spans="2:14" ht="21" customHeight="1">
      <c r="B184" s="2"/>
      <c r="C184" s="2"/>
      <c r="D184" s="2"/>
      <c r="E184" s="2"/>
      <c r="F184" s="4"/>
      <c r="G184" s="70" t="s">
        <v>232</v>
      </c>
      <c r="H184" s="250"/>
      <c r="I184" s="250" t="s">
        <v>233</v>
      </c>
      <c r="J184" s="5"/>
      <c r="K184" s="4"/>
      <c r="L184" s="4"/>
      <c r="M184" s="5"/>
    </row>
    <row r="185" spans="2:14" ht="21" customHeight="1">
      <c r="B185" s="2"/>
      <c r="C185" s="2"/>
      <c r="D185" s="2"/>
      <c r="E185" s="2"/>
      <c r="F185" s="4"/>
      <c r="G185" s="70" t="s">
        <v>234</v>
      </c>
      <c r="H185" s="250"/>
      <c r="I185" s="250" t="s">
        <v>235</v>
      </c>
      <c r="J185" s="5"/>
      <c r="K185" s="4"/>
      <c r="L185" s="4"/>
      <c r="M185" s="5"/>
    </row>
    <row r="186" spans="2:14" ht="21" customHeight="1">
      <c r="B186" s="2"/>
      <c r="C186" s="2"/>
      <c r="D186" s="2"/>
      <c r="E186" s="2"/>
      <c r="F186" s="4"/>
      <c r="G186" s="70" t="s">
        <v>236</v>
      </c>
      <c r="H186" s="250"/>
      <c r="I186" s="250"/>
      <c r="J186" s="5"/>
      <c r="K186" s="4"/>
      <c r="L186" s="4"/>
      <c r="M186" s="5"/>
    </row>
    <row r="187" spans="2:14" ht="21" customHeight="1">
      <c r="B187" s="2"/>
      <c r="C187" s="2"/>
      <c r="D187" s="2"/>
      <c r="E187" s="2"/>
      <c r="F187" s="4"/>
      <c r="G187" s="70" t="s">
        <v>237</v>
      </c>
      <c r="H187" s="250"/>
      <c r="I187" s="250" t="s">
        <v>238</v>
      </c>
      <c r="J187" s="5"/>
      <c r="K187" s="4"/>
      <c r="L187" s="4"/>
      <c r="M187" s="5"/>
    </row>
    <row r="188" spans="2:14" ht="21" customHeight="1">
      <c r="B188" s="2"/>
      <c r="C188" s="2"/>
      <c r="D188" s="2"/>
      <c r="E188" s="2"/>
      <c r="F188" s="4"/>
      <c r="G188" s="70" t="s">
        <v>239</v>
      </c>
      <c r="H188" s="250"/>
      <c r="I188" s="250" t="s">
        <v>240</v>
      </c>
      <c r="J188" s="5"/>
      <c r="K188" s="4"/>
      <c r="L188" s="4"/>
      <c r="M188" s="5"/>
    </row>
    <row r="189" spans="2:14" ht="21" customHeight="1">
      <c r="B189" s="2"/>
      <c r="C189" s="2"/>
      <c r="D189" s="2"/>
      <c r="E189" s="2"/>
      <c r="F189" s="4"/>
      <c r="G189" s="70" t="s">
        <v>241</v>
      </c>
      <c r="H189" s="250"/>
      <c r="I189" s="250" t="s">
        <v>242</v>
      </c>
      <c r="J189" s="5"/>
      <c r="K189" s="4"/>
      <c r="L189" s="4"/>
      <c r="M189" s="5"/>
    </row>
    <row r="190" spans="2:14" ht="21" customHeight="1">
      <c r="B190" s="2"/>
      <c r="C190" s="2"/>
      <c r="D190" s="2"/>
      <c r="E190" s="2"/>
      <c r="F190" s="4"/>
      <c r="G190" s="70" t="s">
        <v>243</v>
      </c>
      <c r="H190" s="250"/>
      <c r="I190" s="250" t="s">
        <v>244</v>
      </c>
      <c r="J190" s="5"/>
      <c r="K190" s="4"/>
      <c r="L190" s="4"/>
      <c r="M190" s="5"/>
    </row>
    <row r="191" spans="2:14" ht="21" customHeight="1">
      <c r="B191" s="2"/>
      <c r="C191" s="2"/>
      <c r="D191" s="2"/>
      <c r="E191" s="2"/>
      <c r="F191" s="4"/>
      <c r="G191" s="4"/>
      <c r="H191" s="5"/>
      <c r="I191" s="5"/>
      <c r="J191" s="5"/>
      <c r="K191" s="4"/>
      <c r="L191" s="4"/>
      <c r="M191" s="5"/>
    </row>
    <row r="192" spans="2:14" ht="21" customHeight="1">
      <c r="B192" s="2"/>
      <c r="C192" s="2"/>
      <c r="D192" s="2"/>
      <c r="E192" s="2"/>
      <c r="F192" s="4"/>
      <c r="G192" s="4"/>
      <c r="H192" s="5"/>
      <c r="I192" s="5"/>
      <c r="J192" s="5"/>
      <c r="K192" s="4"/>
      <c r="L192" s="4"/>
      <c r="M192" s="5"/>
    </row>
    <row r="193" spans="2:18" ht="21" customHeight="1">
      <c r="B193" s="2"/>
      <c r="C193" s="2"/>
      <c r="D193" s="2"/>
      <c r="E193" s="2"/>
      <c r="F193" s="4"/>
      <c r="G193" s="4"/>
      <c r="H193" s="5"/>
      <c r="I193" s="5"/>
      <c r="J193" s="5"/>
      <c r="K193" s="4"/>
      <c r="L193" s="4"/>
      <c r="M193" s="5"/>
    </row>
    <row r="194" spans="2:18" ht="21" customHeight="1">
      <c r="B194" s="2"/>
      <c r="C194" s="2"/>
      <c r="D194" s="2"/>
      <c r="E194" s="2"/>
      <c r="F194" s="4"/>
      <c r="G194" s="4"/>
      <c r="H194" s="5"/>
      <c r="I194" s="5"/>
      <c r="J194" s="5"/>
      <c r="K194" s="4"/>
      <c r="L194" s="4"/>
      <c r="M194" s="5"/>
    </row>
    <row r="195" spans="2:18" ht="21" customHeight="1">
      <c r="B195" s="2"/>
      <c r="C195" s="2"/>
      <c r="D195" s="2"/>
      <c r="E195" s="2"/>
      <c r="F195" s="4"/>
      <c r="G195" s="4"/>
      <c r="H195" s="5" t="e">
        <f>switch</f>
        <v>#NAME?</v>
      </c>
      <c r="I195" s="5"/>
      <c r="J195" s="5"/>
      <c r="K195" s="4"/>
      <c r="L195" s="4"/>
      <c r="M195" s="5"/>
    </row>
    <row r="196" spans="2:18" ht="21" customHeight="1">
      <c r="B196" s="2"/>
      <c r="C196" s="2"/>
      <c r="D196" s="2"/>
      <c r="E196" s="2"/>
      <c r="F196" s="4"/>
      <c r="G196" s="4"/>
      <c r="H196" s="5"/>
      <c r="I196" s="5"/>
      <c r="J196" s="5"/>
      <c r="K196" s="4"/>
      <c r="L196" s="4"/>
      <c r="M196" s="5"/>
    </row>
    <row r="197" spans="2:18" ht="21" customHeight="1">
      <c r="B197" s="2"/>
      <c r="C197" s="2"/>
      <c r="D197" s="2"/>
      <c r="E197" s="2"/>
      <c r="F197" s="4"/>
      <c r="G197" s="4"/>
      <c r="H197" s="5"/>
      <c r="I197" s="5"/>
      <c r="J197" s="5"/>
      <c r="K197" s="4"/>
      <c r="L197" s="4"/>
      <c r="M197" s="5"/>
    </row>
    <row r="198" spans="2:18" ht="21" customHeight="1">
      <c r="B198" s="2"/>
      <c r="C198" s="2"/>
      <c r="D198" s="2"/>
      <c r="E198" s="2"/>
      <c r="F198" s="4"/>
      <c r="G198" s="4"/>
      <c r="H198" s="5"/>
      <c r="I198" s="5"/>
      <c r="J198" s="5"/>
      <c r="K198" s="4"/>
      <c r="L198" s="4"/>
      <c r="M198" s="5"/>
    </row>
    <row r="199" spans="2:18" ht="21" customHeight="1">
      <c r="B199" s="2"/>
      <c r="C199" s="2"/>
      <c r="D199" s="2"/>
      <c r="E199" s="2"/>
      <c r="F199" s="4"/>
      <c r="G199" s="4"/>
      <c r="H199" s="5"/>
      <c r="I199" s="5"/>
      <c r="J199" s="5"/>
      <c r="K199" s="4"/>
      <c r="L199" s="4"/>
      <c r="M199" s="5"/>
    </row>
    <row r="200" spans="2:18" ht="21" customHeight="1">
      <c r="B200" s="2"/>
      <c r="C200" s="2"/>
      <c r="D200" s="2"/>
      <c r="E200" s="2"/>
      <c r="F200" s="4"/>
      <c r="G200" s="4"/>
      <c r="H200" s="5"/>
      <c r="I200" s="5"/>
      <c r="J200" s="5"/>
      <c r="K200" s="4"/>
      <c r="L200" s="4"/>
      <c r="M200" s="5"/>
    </row>
    <row r="201" spans="2:18" ht="21" customHeight="1">
      <c r="B201" s="2"/>
      <c r="C201" s="2"/>
      <c r="D201" s="2"/>
      <c r="E201" s="2"/>
      <c r="F201" s="4"/>
      <c r="G201" s="4"/>
      <c r="H201" s="5"/>
      <c r="I201" s="5"/>
      <c r="J201" s="5"/>
      <c r="K201" s="4"/>
      <c r="L201" s="4"/>
      <c r="M201" s="5"/>
    </row>
    <row r="202" spans="2:18" ht="21" customHeight="1">
      <c r="B202" s="2"/>
      <c r="C202" s="2"/>
      <c r="D202" s="2"/>
      <c r="E202" s="2"/>
      <c r="F202" s="4"/>
      <c r="G202" s="4"/>
      <c r="H202" s="5"/>
      <c r="I202" s="5"/>
      <c r="J202" s="5"/>
      <c r="K202" s="4"/>
      <c r="L202" s="4"/>
      <c r="M202" s="5"/>
    </row>
    <row r="203" spans="2:18" ht="21" customHeight="1">
      <c r="B203" s="251" t="s">
        <v>245</v>
      </c>
      <c r="C203" s="2"/>
      <c r="D203" s="2"/>
      <c r="E203" s="51"/>
      <c r="F203" s="58"/>
      <c r="G203" s="4"/>
      <c r="H203" s="5"/>
      <c r="I203" s="5"/>
      <c r="J203" s="5"/>
      <c r="K203" s="4"/>
      <c r="L203" s="4"/>
      <c r="M203" s="5"/>
      <c r="N203" s="79"/>
      <c r="P203" s="252" t="s">
        <v>246</v>
      </c>
      <c r="Q203" s="79"/>
      <c r="R203" s="79"/>
    </row>
    <row r="204" spans="2:18" ht="21" customHeight="1">
      <c r="B204" s="253" t="s">
        <v>247</v>
      </c>
      <c r="C204" s="253"/>
      <c r="D204" s="254" t="s">
        <v>248</v>
      </c>
      <c r="E204" s="254" t="s">
        <v>249</v>
      </c>
      <c r="F204" s="255"/>
      <c r="G204" s="4"/>
      <c r="H204" s="5"/>
      <c r="I204" s="5"/>
      <c r="J204" s="5"/>
      <c r="K204" s="4"/>
      <c r="L204" s="4"/>
      <c r="M204" s="5"/>
      <c r="N204" s="79"/>
      <c r="P204" s="253" t="s">
        <v>247</v>
      </c>
      <c r="Q204" s="253"/>
      <c r="R204" s="256" t="s">
        <v>250</v>
      </c>
    </row>
    <row r="205" spans="2:18" ht="21" customHeight="1">
      <c r="B205" s="257" t="s">
        <v>126</v>
      </c>
      <c r="C205" s="257"/>
      <c r="D205" s="258" t="str">
        <f>L78</f>
        <v/>
      </c>
      <c r="E205" s="258" t="str">
        <f>L78</f>
        <v/>
      </c>
      <c r="F205" s="259"/>
      <c r="G205" s="4"/>
      <c r="H205" s="5"/>
      <c r="I205" s="5"/>
      <c r="J205" s="5"/>
      <c r="K205" s="4"/>
      <c r="L205" s="4"/>
      <c r="M205" s="5"/>
      <c r="N205" s="79"/>
      <c r="P205" s="257" t="s">
        <v>126</v>
      </c>
      <c r="Q205" s="257"/>
      <c r="R205" s="258" t="s">
        <v>251</v>
      </c>
    </row>
    <row r="206" spans="2:18" ht="21" customHeight="1">
      <c r="B206" s="257" t="s">
        <v>252</v>
      </c>
      <c r="C206" s="257"/>
      <c r="D206" s="260" t="str">
        <f>C78</f>
        <v/>
      </c>
      <c r="E206" s="260" t="str">
        <f>C78</f>
        <v/>
      </c>
      <c r="F206" s="261"/>
      <c r="G206" s="262"/>
      <c r="H206" s="263"/>
      <c r="I206" s="263"/>
      <c r="J206" s="263"/>
      <c r="K206" s="262"/>
      <c r="L206" s="262"/>
      <c r="M206" s="263"/>
      <c r="N206" s="264"/>
      <c r="P206" s="265" t="s">
        <v>252</v>
      </c>
      <c r="Q206" s="265"/>
      <c r="R206" s="265">
        <v>102</v>
      </c>
    </row>
    <row r="207" spans="2:18" ht="21" customHeight="1">
      <c r="B207" s="257" t="s">
        <v>122</v>
      </c>
      <c r="C207" s="257"/>
      <c r="D207" s="257" t="str">
        <f>G78</f>
        <v/>
      </c>
      <c r="E207" s="257" t="str">
        <f>G78</f>
        <v/>
      </c>
      <c r="F207" s="266"/>
      <c r="G207" s="4"/>
      <c r="H207" s="5"/>
      <c r="I207" s="5"/>
      <c r="J207" s="5"/>
      <c r="K207" s="4"/>
      <c r="L207" s="4"/>
      <c r="M207" s="5"/>
      <c r="N207" s="79"/>
      <c r="P207" s="257" t="s">
        <v>122</v>
      </c>
      <c r="Q207" s="257"/>
      <c r="R207" s="257" t="s">
        <v>253</v>
      </c>
    </row>
    <row r="208" spans="2:18" ht="21" customHeight="1">
      <c r="B208" s="257" t="s">
        <v>254</v>
      </c>
      <c r="C208" s="257"/>
      <c r="D208" s="257" t="str">
        <f>J78</f>
        <v/>
      </c>
      <c r="E208" s="257" t="str">
        <f>J78</f>
        <v/>
      </c>
      <c r="F208" s="266"/>
      <c r="G208" s="4"/>
      <c r="H208" s="5"/>
      <c r="I208" s="5"/>
      <c r="J208" s="5"/>
      <c r="K208" s="4"/>
      <c r="L208" s="4"/>
      <c r="M208" s="5"/>
      <c r="N208" s="79"/>
      <c r="P208" s="257" t="s">
        <v>254</v>
      </c>
      <c r="Q208" s="257"/>
      <c r="R208" s="257" t="s">
        <v>125</v>
      </c>
    </row>
    <row r="209" spans="2:18" ht="21" customHeight="1">
      <c r="B209" s="257" t="s">
        <v>255</v>
      </c>
      <c r="C209" s="257" t="s">
        <v>256</v>
      </c>
      <c r="D209" s="257">
        <f>$H44</f>
        <v>0</v>
      </c>
      <c r="E209" s="257">
        <f>$H44</f>
        <v>0</v>
      </c>
      <c r="F209" s="266"/>
      <c r="G209" s="4"/>
      <c r="H209" s="5"/>
      <c r="I209" s="5"/>
      <c r="J209" s="5"/>
      <c r="K209" s="4"/>
      <c r="L209" s="4"/>
      <c r="M209" s="5"/>
      <c r="N209" s="79"/>
      <c r="P209" s="257" t="s">
        <v>255</v>
      </c>
      <c r="Q209" s="257" t="s">
        <v>256</v>
      </c>
      <c r="R209" s="257">
        <v>55</v>
      </c>
    </row>
    <row r="210" spans="2:18" ht="21" customHeight="1">
      <c r="B210" s="257" t="s">
        <v>257</v>
      </c>
      <c r="C210" s="257"/>
      <c r="D210" s="257" t="str">
        <f>CONCATENATE(E44,",  ",E45," ",E48,",  ",E49)</f>
        <v>0,  0 0,  0</v>
      </c>
      <c r="E210" s="257" t="str">
        <f>CONCATENATE(E44,",  ",E45," ",E48,",  ",E49)</f>
        <v>0,  0 0,  0</v>
      </c>
      <c r="F210" s="266"/>
      <c r="G210" s="4"/>
      <c r="H210" s="5"/>
      <c r="I210" s="5"/>
      <c r="J210" s="5"/>
      <c r="K210" s="4"/>
      <c r="L210" s="4"/>
      <c r="M210" s="5"/>
      <c r="N210" s="79"/>
      <c r="P210" s="257" t="s">
        <v>257</v>
      </c>
      <c r="Q210" s="257"/>
      <c r="R210" s="257" t="s">
        <v>258</v>
      </c>
    </row>
    <row r="211" spans="2:18" ht="21" customHeight="1">
      <c r="B211" s="257" t="s">
        <v>259</v>
      </c>
      <c r="C211" s="257"/>
      <c r="D211" s="257">
        <f>E51</f>
        <v>0</v>
      </c>
      <c r="E211" s="257">
        <f>E51</f>
        <v>0</v>
      </c>
      <c r="F211" s="266"/>
      <c r="G211" s="4"/>
      <c r="H211" s="5"/>
      <c r="I211" s="5"/>
      <c r="J211" s="5"/>
      <c r="K211" s="4"/>
      <c r="L211" s="4"/>
      <c r="M211" s="5"/>
      <c r="N211" s="79"/>
      <c r="P211" s="257" t="s">
        <v>259</v>
      </c>
      <c r="Q211" s="257"/>
      <c r="R211" s="257" t="s">
        <v>260</v>
      </c>
    </row>
    <row r="212" spans="2:18" ht="21" customHeight="1">
      <c r="B212" s="253" t="s">
        <v>261</v>
      </c>
      <c r="C212" s="257" t="s">
        <v>262</v>
      </c>
      <c r="D212" s="267" t="e">
        <f>I95</f>
        <v>#N/A</v>
      </c>
      <c r="E212" s="267" t="e">
        <f>I95</f>
        <v>#N/A</v>
      </c>
      <c r="F212" s="268"/>
      <c r="G212" s="4"/>
      <c r="H212" s="5"/>
      <c r="I212" s="5"/>
      <c r="J212" s="5"/>
      <c r="K212" s="4"/>
      <c r="L212" s="4"/>
      <c r="M212" s="5"/>
      <c r="N212" s="79"/>
      <c r="P212" s="253" t="s">
        <v>261</v>
      </c>
      <c r="Q212" s="257" t="s">
        <v>262</v>
      </c>
      <c r="R212" s="267">
        <v>350</v>
      </c>
    </row>
    <row r="213" spans="2:18" ht="21" customHeight="1">
      <c r="B213" s="253"/>
      <c r="C213" s="257" t="s">
        <v>263</v>
      </c>
      <c r="D213" s="269" t="e">
        <f>I160</f>
        <v>#N/A</v>
      </c>
      <c r="E213" s="269" t="e">
        <f>I160</f>
        <v>#N/A</v>
      </c>
      <c r="F213" s="266"/>
      <c r="G213" s="4"/>
      <c r="H213" s="5"/>
      <c r="I213" s="5"/>
      <c r="J213" s="5"/>
      <c r="K213" s="4"/>
      <c r="L213" s="4"/>
      <c r="M213" s="5"/>
      <c r="N213" s="79"/>
      <c r="P213" s="253"/>
      <c r="Q213" s="257" t="s">
        <v>263</v>
      </c>
      <c r="R213" s="257">
        <v>350</v>
      </c>
    </row>
    <row r="214" spans="2:18" ht="21" customHeight="1">
      <c r="B214" s="257" t="s">
        <v>264</v>
      </c>
      <c r="C214" s="257" t="s">
        <v>265</v>
      </c>
      <c r="D214" s="267" t="str">
        <f>I44</f>
        <v/>
      </c>
      <c r="E214" s="267" t="str">
        <f>I44</f>
        <v/>
      </c>
      <c r="F214" s="266"/>
      <c r="G214" s="4"/>
      <c r="H214" s="5"/>
      <c r="I214" s="5"/>
      <c r="J214" s="5"/>
      <c r="K214" s="4"/>
      <c r="L214" s="4"/>
      <c r="M214" s="5"/>
      <c r="N214" s="79"/>
      <c r="P214" s="257" t="s">
        <v>264</v>
      </c>
      <c r="Q214" s="257" t="s">
        <v>265</v>
      </c>
      <c r="R214" s="257">
        <v>1.65</v>
      </c>
    </row>
    <row r="215" spans="2:18" ht="21" customHeight="1">
      <c r="B215" s="257" t="s">
        <v>266</v>
      </c>
      <c r="C215" s="257" t="s">
        <v>267</v>
      </c>
      <c r="D215" s="270"/>
      <c r="E215" s="270"/>
      <c r="F215" s="271"/>
      <c r="G215" s="4"/>
      <c r="H215" s="5"/>
      <c r="I215" s="5"/>
      <c r="J215" s="5"/>
      <c r="K215" s="4"/>
      <c r="L215" s="4"/>
      <c r="M215" s="5"/>
      <c r="N215" s="79"/>
      <c r="P215" s="257" t="s">
        <v>266</v>
      </c>
      <c r="Q215" s="257" t="s">
        <v>267</v>
      </c>
      <c r="R215" s="270"/>
    </row>
    <row r="216" spans="2:18" ht="21" customHeight="1">
      <c r="B216" s="257" t="s">
        <v>268</v>
      </c>
      <c r="C216" s="257" t="s">
        <v>269</v>
      </c>
      <c r="D216" s="257" t="str">
        <f>J51</f>
        <v/>
      </c>
      <c r="E216" s="257" t="str">
        <f>J51</f>
        <v/>
      </c>
      <c r="F216" s="266"/>
      <c r="G216" s="4"/>
      <c r="H216" s="5"/>
      <c r="I216" s="5"/>
      <c r="J216" s="5"/>
      <c r="K216" s="4"/>
      <c r="L216" s="4"/>
      <c r="M216" s="5"/>
      <c r="N216" s="79"/>
      <c r="P216" s="257" t="s">
        <v>268</v>
      </c>
      <c r="Q216" s="257" t="s">
        <v>269</v>
      </c>
      <c r="R216" s="257">
        <v>27.6</v>
      </c>
    </row>
    <row r="217" spans="2:18" ht="21" customHeight="1">
      <c r="B217" s="272"/>
      <c r="C217" s="257" t="s">
        <v>262</v>
      </c>
      <c r="D217" s="270" t="str">
        <f>IF(J78="n",C104,IF(J78="k",C95,IF(J78="rpp",C115,IF(J78="rpk",C127,IF(J78="rnk",C140,IF(J78="o",C150,IF(J78="p",C159,"brak typu słupa")))))))</f>
        <v>brak typu słupa</v>
      </c>
      <c r="E217" s="270" t="str">
        <f>IF(J78="n",C104,IF(J78="k",C95,IF(J78="rpp",C115,IF(J78="rpk",C127,IF(J78="rnk",C140,IF(J78="o",C150,IF(J78="p",C159,"brak typu słupa")))))))</f>
        <v>brak typu słupa</v>
      </c>
      <c r="F217" s="271"/>
      <c r="G217" s="4"/>
      <c r="H217" s="5"/>
      <c r="I217" s="5"/>
      <c r="J217" s="5"/>
      <c r="K217" s="4"/>
      <c r="L217" s="4"/>
      <c r="M217" s="5"/>
      <c r="N217" s="79"/>
      <c r="P217" s="272"/>
      <c r="Q217" s="257" t="s">
        <v>262</v>
      </c>
      <c r="R217" s="270">
        <v>142.10380000000001</v>
      </c>
    </row>
    <row r="218" spans="2:18" ht="21" customHeight="1">
      <c r="B218" s="272"/>
      <c r="C218" s="257" t="s">
        <v>263</v>
      </c>
      <c r="D218" s="270" t="str">
        <f>IF(J78="n",C105,IF(J78="k",C96,IF(J78="rpp",C116,IF(J78="rpk",C128,IF(J78="rnk",C141,IF(J78="o",C151,IF(J78="p",C160,"brak typu słupa")))))))</f>
        <v>brak typu słupa</v>
      </c>
      <c r="E218" s="270" t="str">
        <f>IF(J78="n",C105,IF(J78="k",C96,IF(J78="rpp",C116,IF(J78="rpk",C128,IF(J78="rnk",C141,IF(J78="o",C151,IF(J78="p",C160,"brak typu słupa")))))))</f>
        <v>brak typu słupa</v>
      </c>
      <c r="F218" s="271"/>
      <c r="G218" s="4"/>
      <c r="H218" s="5"/>
      <c r="I218" s="5"/>
      <c r="J218" s="5"/>
      <c r="K218" s="4"/>
      <c r="L218" s="4"/>
      <c r="M218" s="5"/>
      <c r="N218" s="79"/>
      <c r="P218" s="272"/>
      <c r="Q218" s="257" t="s">
        <v>263</v>
      </c>
      <c r="R218" s="270">
        <v>50</v>
      </c>
    </row>
    <row r="219" spans="2:18" ht="21" customHeight="1">
      <c r="B219" s="257" t="s">
        <v>270</v>
      </c>
      <c r="C219" s="257" t="s">
        <v>271</v>
      </c>
      <c r="D219" s="270"/>
      <c r="E219" s="270"/>
      <c r="F219" s="271"/>
      <c r="G219" s="4"/>
      <c r="H219" s="5"/>
      <c r="I219" s="5"/>
      <c r="J219" s="5"/>
      <c r="K219" s="4"/>
      <c r="L219" s="4"/>
      <c r="M219" s="5"/>
      <c r="N219" s="79"/>
      <c r="P219" s="257" t="s">
        <v>270</v>
      </c>
      <c r="Q219" s="257" t="s">
        <v>271</v>
      </c>
      <c r="R219" s="270"/>
    </row>
    <row r="220" spans="2:18" ht="21" customHeight="1">
      <c r="B220" s="257" t="s">
        <v>272</v>
      </c>
      <c r="C220" s="257" t="s">
        <v>273</v>
      </c>
      <c r="D220" s="257" t="e">
        <f>K106</f>
        <v>#N/A</v>
      </c>
      <c r="E220" s="273" t="e">
        <f>#REF!</f>
        <v>#REF!</v>
      </c>
      <c r="F220" s="274"/>
      <c r="G220" s="4"/>
      <c r="H220" s="5"/>
      <c r="I220" s="5"/>
      <c r="J220" s="5"/>
      <c r="K220" s="4"/>
      <c r="L220" s="4"/>
      <c r="M220" s="5"/>
      <c r="N220" s="79"/>
      <c r="P220" s="257" t="s">
        <v>272</v>
      </c>
      <c r="Q220" s="257" t="s">
        <v>273</v>
      </c>
      <c r="R220" s="257">
        <v>0.59398914285714288</v>
      </c>
    </row>
    <row r="221" spans="2:18" ht="21" customHeight="1">
      <c r="B221" s="257" t="s">
        <v>274</v>
      </c>
      <c r="C221" s="257" t="s">
        <v>275</v>
      </c>
      <c r="D221" s="257" t="e">
        <f>IF(AND(K104="Warunek spełniony",K105="Warunek spełniony"),"TAK","NIE")</f>
        <v>#N/A</v>
      </c>
      <c r="E221" s="257" t="e">
        <f>IF(AND(K159="Warunek spełniony",K160="Warunek spełniony"),"TAK","NIE")</f>
        <v>#N/A</v>
      </c>
      <c r="F221" s="266"/>
      <c r="G221" s="4"/>
      <c r="H221" s="5"/>
      <c r="I221" s="5"/>
      <c r="J221" s="5"/>
      <c r="K221" s="4"/>
      <c r="L221" s="4"/>
      <c r="M221" s="5"/>
      <c r="N221" s="79"/>
      <c r="P221" s="257" t="s">
        <v>274</v>
      </c>
      <c r="Q221" s="257" t="s">
        <v>275</v>
      </c>
      <c r="R221" s="257" t="s">
        <v>276</v>
      </c>
    </row>
  </sheetData>
  <mergeCells count="100">
    <mergeCell ref="B86:E86"/>
    <mergeCell ref="K1:L1"/>
    <mergeCell ref="C42:E42"/>
    <mergeCell ref="B76:L77"/>
    <mergeCell ref="C78:D78"/>
    <mergeCell ref="B79:E79"/>
    <mergeCell ref="B80:E80"/>
    <mergeCell ref="B81:E81"/>
    <mergeCell ref="B82:E82"/>
    <mergeCell ref="B83:E83"/>
    <mergeCell ref="B84:E84"/>
    <mergeCell ref="B85:E85"/>
    <mergeCell ref="B99:G99"/>
    <mergeCell ref="B87:E87"/>
    <mergeCell ref="B88:E88"/>
    <mergeCell ref="B90:E90"/>
    <mergeCell ref="B91:E91"/>
    <mergeCell ref="B93:E93"/>
    <mergeCell ref="G93:H93"/>
    <mergeCell ref="B92:L92"/>
    <mergeCell ref="B94:E94"/>
    <mergeCell ref="G94:H94"/>
    <mergeCell ref="G95:H95"/>
    <mergeCell ref="G96:H96"/>
    <mergeCell ref="G97:H97"/>
    <mergeCell ref="B100:G100"/>
    <mergeCell ref="B102:E102"/>
    <mergeCell ref="G102:H102"/>
    <mergeCell ref="B103:E103"/>
    <mergeCell ref="G103:H103"/>
    <mergeCell ref="B101:L101"/>
    <mergeCell ref="B119:G119"/>
    <mergeCell ref="G104:H104"/>
    <mergeCell ref="G105:H105"/>
    <mergeCell ref="G106:H106"/>
    <mergeCell ref="B108:G108"/>
    <mergeCell ref="B109:G109"/>
    <mergeCell ref="B110:G110"/>
    <mergeCell ref="B112:L112"/>
    <mergeCell ref="B111:G111"/>
    <mergeCell ref="B113:E113"/>
    <mergeCell ref="B114:E114"/>
    <mergeCell ref="G115:H115"/>
    <mergeCell ref="G116:H116"/>
    <mergeCell ref="B132:G132"/>
    <mergeCell ref="B120:G120"/>
    <mergeCell ref="B121:G121"/>
    <mergeCell ref="B122:G122"/>
    <mergeCell ref="B123:G123"/>
    <mergeCell ref="B124:L124"/>
    <mergeCell ref="B125:E125"/>
    <mergeCell ref="G125:H125"/>
    <mergeCell ref="B126:E126"/>
    <mergeCell ref="G126:H126"/>
    <mergeCell ref="G127:H127"/>
    <mergeCell ref="G128:H128"/>
    <mergeCell ref="B131:G131"/>
    <mergeCell ref="B144:G144"/>
    <mergeCell ref="B133:G133"/>
    <mergeCell ref="B134:G134"/>
    <mergeCell ref="B135:L135"/>
    <mergeCell ref="B136:E136"/>
    <mergeCell ref="G136:H136"/>
    <mergeCell ref="B137:E137"/>
    <mergeCell ref="G137:H137"/>
    <mergeCell ref="B138:H138"/>
    <mergeCell ref="B139:E139"/>
    <mergeCell ref="G139:H139"/>
    <mergeCell ref="G140:H140"/>
    <mergeCell ref="G141:H141"/>
    <mergeCell ref="B145:G145"/>
    <mergeCell ref="B146:L146"/>
    <mergeCell ref="B147:E147"/>
    <mergeCell ref="G147:H147"/>
    <mergeCell ref="B148:E148"/>
    <mergeCell ref="G148:H148"/>
    <mergeCell ref="B164:E164"/>
    <mergeCell ref="G150:H150"/>
    <mergeCell ref="G151:H151"/>
    <mergeCell ref="B154:G154"/>
    <mergeCell ref="B155:G155"/>
    <mergeCell ref="B156:L156"/>
    <mergeCell ref="B157:E157"/>
    <mergeCell ref="G157:H157"/>
    <mergeCell ref="B158:E158"/>
    <mergeCell ref="G158:H158"/>
    <mergeCell ref="G159:H159"/>
    <mergeCell ref="G160:H160"/>
    <mergeCell ref="B163:E163"/>
    <mergeCell ref="G170:H170"/>
    <mergeCell ref="G171:H171"/>
    <mergeCell ref="B180:H180"/>
    <mergeCell ref="B181:H181"/>
    <mergeCell ref="B165:E165"/>
    <mergeCell ref="B166:E166"/>
    <mergeCell ref="B168:E168"/>
    <mergeCell ref="G168:H168"/>
    <mergeCell ref="B169:E169"/>
    <mergeCell ref="G169:H169"/>
    <mergeCell ref="B167:L167"/>
  </mergeCells>
  <conditionalFormatting sqref="D221:F221">
    <cfRule type="containsText" dxfId="15" priority="1" operator="containsText" text="nie">
      <formula>NOT(ISERROR(SEARCH(("nie"),(D221))))</formula>
    </cfRule>
  </conditionalFormatting>
  <conditionalFormatting sqref="R221">
    <cfRule type="containsText" dxfId="14" priority="2" operator="containsText" text="nie">
      <formula>NOT(ISERROR(SEARCH(("nie"),(R221))))</formula>
    </cfRule>
  </conditionalFormatting>
  <pageMargins left="0.39370078740157483" right="0.19685039370078741" top="0.19685039370078741" bottom="0.19685039370078741" header="0" footer="0"/>
  <pageSetup paperSize="8" scale="5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94202-06A1-471C-85B1-58D981577621}">
  <dimension ref="A1:G3"/>
  <sheetViews>
    <sheetView zoomScaleNormal="100" workbookViewId="0">
      <selection sqref="A1:G3"/>
    </sheetView>
  </sheetViews>
  <sheetFormatPr defaultRowHeight="12.75"/>
  <cols>
    <col min="1" max="1" width="38.42578125" bestFit="1" customWidth="1"/>
    <col min="2" max="2" width="12" bestFit="1" customWidth="1"/>
    <col min="3" max="3" width="20.28515625" bestFit="1" customWidth="1"/>
    <col min="4" max="4" width="4" bestFit="1" customWidth="1"/>
    <col min="5" max="5" width="16.28515625" bestFit="1" customWidth="1"/>
    <col min="6" max="6" width="42.140625" bestFit="1" customWidth="1"/>
  </cols>
  <sheetData>
    <row r="1" spans="1:7">
      <c r="A1" s="438" t="str">
        <f>KALKULATOR!$C$92</f>
        <v>Obliczenia wytrzymałości  słupa K krańcowego</v>
      </c>
      <c r="C1">
        <f>KALKULATOR!G92</f>
        <v>0</v>
      </c>
      <c r="D1">
        <f>KALKULATOR!I92</f>
        <v>0</v>
      </c>
      <c r="E1">
        <f>KALKULATOR!K92</f>
        <v>0</v>
      </c>
      <c r="F1">
        <f>KALKULATOR!L92</f>
        <v>0</v>
      </c>
    </row>
    <row r="2" spans="1:7">
      <c r="A2" s="439" t="str">
        <f>KALKULATOR!B95</f>
        <v>Obliczona siła -  Pux=</v>
      </c>
      <c r="B2" s="439">
        <f>KALKULATOR!C95</f>
        <v>0</v>
      </c>
      <c r="C2" s="440" t="str">
        <f>KALKULATOR!G95</f>
        <v>dopuszczalna siła  Pdx =</v>
      </c>
      <c r="D2" s="440" t="e">
        <f>KALKULATOR!I95</f>
        <v>#N/A</v>
      </c>
      <c r="E2" t="e">
        <f>KALKULATOR!K95</f>
        <v>#N/A</v>
      </c>
      <c r="F2" s="441" t="s">
        <v>602</v>
      </c>
      <c r="G2" s="442">
        <f>KALKULATOR_EL!C95</f>
        <v>0</v>
      </c>
    </row>
    <row r="3" spans="1:7">
      <c r="A3" s="439" t="str">
        <f>KALKULATOR!B96</f>
        <v>Obliczona siła -  Puy=</v>
      </c>
      <c r="B3" s="439" t="e">
        <f>KALKULATOR!C96</f>
        <v>#N/A</v>
      </c>
      <c r="C3" s="440" t="str">
        <f>KALKULATOR!G96</f>
        <v>dopuszczalna siła  Pdy =</v>
      </c>
      <c r="D3" s="440" t="e">
        <f>KALKULATOR!I96</f>
        <v>#N/A</v>
      </c>
      <c r="E3" t="e">
        <f>KALKULATOR!K96</f>
        <v>#N/A</v>
      </c>
      <c r="F3" s="441" t="s">
        <v>603</v>
      </c>
      <c r="G3" s="442" t="e">
        <f>KALKULATOR_EL!C96</f>
        <v>#N/A</v>
      </c>
    </row>
  </sheetData>
  <conditionalFormatting sqref="A1:F1 A2:A3">
    <cfRule type="cellIs" dxfId="13" priority="2" operator="equal">
      <formula>0</formula>
    </cfRule>
  </conditionalFormatting>
  <conditionalFormatting sqref="C2:F3">
    <cfRule type="cellIs" dxfId="12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9A9E1-D6B1-4C5F-9571-22E9F918A0CD}">
  <dimension ref="A1:G3"/>
  <sheetViews>
    <sheetView workbookViewId="0">
      <selection sqref="A1:G3"/>
    </sheetView>
  </sheetViews>
  <sheetFormatPr defaultRowHeight="12.75"/>
  <cols>
    <col min="1" max="1" width="37.140625" bestFit="1" customWidth="1"/>
    <col min="2" max="2" width="8" bestFit="1" customWidth="1"/>
    <col min="3" max="3" width="20.7109375" bestFit="1" customWidth="1"/>
    <col min="4" max="4" width="4" bestFit="1" customWidth="1"/>
    <col min="5" max="5" width="16.28515625" bestFit="1" customWidth="1"/>
    <col min="6" max="6" width="42.140625" bestFit="1" customWidth="1"/>
  </cols>
  <sheetData>
    <row r="1" spans="1:7">
      <c r="A1" s="438" t="str">
        <f>KALKULATOR!$B$101</f>
        <v>Obliczenia wytrzymałości  słupa N narożnego</v>
      </c>
      <c r="C1">
        <f>KALKULATOR!G101</f>
        <v>0</v>
      </c>
      <c r="D1">
        <f>KALKULATOR!I101</f>
        <v>0</v>
      </c>
      <c r="E1">
        <f>KALKULATOR!K101</f>
        <v>0</v>
      </c>
      <c r="F1">
        <f>KALKULATOR!L101</f>
        <v>0</v>
      </c>
    </row>
    <row r="2" spans="1:7">
      <c r="A2" s="439" t="str">
        <f>KALKULATOR!B104</f>
        <v>Obliczona siła -  Pux=</v>
      </c>
      <c r="B2" s="439" t="e">
        <f>KALKULATOR!C104</f>
        <v>#N/A</v>
      </c>
      <c r="C2" s="440" t="str">
        <f>KALKULATOR!G104</f>
        <v>dopuszczalna siła   Pdx =</v>
      </c>
      <c r="D2" s="440" t="e">
        <f>KALKULATOR!I104</f>
        <v>#N/A</v>
      </c>
      <c r="E2" t="e">
        <f>KALKULATOR!K104</f>
        <v>#N/A</v>
      </c>
      <c r="F2" s="441" t="s">
        <v>602</v>
      </c>
      <c r="G2" s="442" t="e">
        <f>KALKULATOR_EL!C104</f>
        <v>#N/A</v>
      </c>
    </row>
    <row r="3" spans="1:7">
      <c r="A3" s="439" t="str">
        <f>KALKULATOR!B105</f>
        <v>Obliczona siła -  Puy=</v>
      </c>
      <c r="B3" s="439" t="e">
        <f>KALKULATOR!C105</f>
        <v>#N/A</v>
      </c>
      <c r="C3" s="440" t="str">
        <f>KALKULATOR!G105</f>
        <v>dopuszczalna siła   Pdy =</v>
      </c>
      <c r="D3" s="440" t="e">
        <f>KALKULATOR!I105</f>
        <v>#N/A</v>
      </c>
      <c r="E3" t="e">
        <f>KALKULATOR!K105</f>
        <v>#N/A</v>
      </c>
      <c r="F3" s="441" t="s">
        <v>603</v>
      </c>
      <c r="G3" s="442" t="e">
        <f>KALKULATOR_EL!C105</f>
        <v>#N/A</v>
      </c>
    </row>
  </sheetData>
  <conditionalFormatting sqref="A1:F1 A2:A3">
    <cfRule type="cellIs" dxfId="11" priority="2" operator="equal">
      <formula>0</formula>
    </cfRule>
  </conditionalFormatting>
  <conditionalFormatting sqref="C2:F3">
    <cfRule type="cellIs" dxfId="10" priority="1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D268A-2F5D-4C7F-9705-AD2EB56BDC44}">
  <dimension ref="A1:G3"/>
  <sheetViews>
    <sheetView workbookViewId="0">
      <selection activeCell="G3" sqref="A1:G3"/>
    </sheetView>
  </sheetViews>
  <sheetFormatPr defaultRowHeight="12.75"/>
  <cols>
    <col min="1" max="1" width="58.42578125" bestFit="1" customWidth="1"/>
    <col min="2" max="2" width="6" bestFit="1" customWidth="1"/>
    <col min="3" max="3" width="20.7109375" bestFit="1" customWidth="1"/>
    <col min="4" max="4" width="4" bestFit="1" customWidth="1"/>
    <col min="5" max="5" width="16.28515625" bestFit="1" customWidth="1"/>
    <col min="6" max="6" width="42.140625" bestFit="1" customWidth="1"/>
  </cols>
  <sheetData>
    <row r="1" spans="1:7" ht="15.75" customHeight="1">
      <c r="A1" s="438" t="str">
        <f>KALKULATOR!$B$112</f>
        <v>Obliczenia wytrzymałości  słupa RPP rozgałęźny  przelotowo-przelotowy</v>
      </c>
      <c r="C1">
        <f>KALKULATOR!G112</f>
        <v>0</v>
      </c>
      <c r="D1">
        <f>KALKULATOR!I112</f>
        <v>0</v>
      </c>
      <c r="E1">
        <f>KALKULATOR!K112</f>
        <v>0</v>
      </c>
      <c r="F1">
        <f>KALKULATOR!L112</f>
        <v>0</v>
      </c>
    </row>
    <row r="2" spans="1:7">
      <c r="A2" s="439" t="str">
        <f>KALKULATOR!B115</f>
        <v>Obliczona siła -  Pux=</v>
      </c>
      <c r="B2" s="439" t="e">
        <f>KALKULATOR!C115</f>
        <v>#N/A</v>
      </c>
      <c r="C2" s="440" t="str">
        <f>KALKULATOR!G115</f>
        <v>dopuszczalna siła   Pdx =</v>
      </c>
      <c r="D2" s="440" t="e">
        <f>KALKULATOR!I115</f>
        <v>#N/A</v>
      </c>
      <c r="E2" t="e">
        <f>KALKULATOR!K115</f>
        <v>#N/A</v>
      </c>
      <c r="F2" s="441" t="s">
        <v>602</v>
      </c>
      <c r="G2" s="442" t="e">
        <f>KALKULATOR_EL!C115</f>
        <v>#N/A</v>
      </c>
    </row>
    <row r="3" spans="1:7">
      <c r="A3" s="439" t="str">
        <f>KALKULATOR!B116</f>
        <v>Obliczona siła -  Puy=</v>
      </c>
      <c r="B3" s="439" t="e">
        <f>KALKULATOR!C116</f>
        <v>#N/A</v>
      </c>
      <c r="C3" s="440" t="str">
        <f>KALKULATOR!G116</f>
        <v>dopuszczalna siła   Pdy =</v>
      </c>
      <c r="D3" s="440" t="e">
        <f>KALKULATOR!I116</f>
        <v>#N/A</v>
      </c>
      <c r="E3" t="e">
        <f>KALKULATOR!K116</f>
        <v>#N/A</v>
      </c>
      <c r="F3" s="441" t="s">
        <v>603</v>
      </c>
      <c r="G3" s="442" t="e">
        <f>KALKULATOR_EL!C116</f>
        <v>#N/A</v>
      </c>
    </row>
  </sheetData>
  <conditionalFormatting sqref="A1:F1 A2:A3">
    <cfRule type="cellIs" dxfId="9" priority="2" operator="equal">
      <formula>0</formula>
    </cfRule>
  </conditionalFormatting>
  <conditionalFormatting sqref="C2:F3">
    <cfRule type="cellIs" dxfId="8" priority="1" operator="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E8C2F-889C-47B2-BAAB-01A566D9A539}">
  <dimension ref="A1:G3"/>
  <sheetViews>
    <sheetView workbookViewId="0">
      <selection sqref="A1:G3"/>
    </sheetView>
  </sheetViews>
  <sheetFormatPr defaultRowHeight="12.75"/>
  <cols>
    <col min="1" max="1" width="61.7109375" bestFit="1" customWidth="1"/>
    <col min="2" max="2" width="7" bestFit="1" customWidth="1"/>
    <col min="3" max="3" width="20.7109375" bestFit="1" customWidth="1"/>
    <col min="4" max="4" width="4" bestFit="1" customWidth="1"/>
    <col min="5" max="5" width="16.28515625" bestFit="1" customWidth="1"/>
    <col min="6" max="6" width="42.140625" bestFit="1" customWidth="1"/>
    <col min="7" max="7" width="7" bestFit="1" customWidth="1"/>
  </cols>
  <sheetData>
    <row r="1" spans="1:7">
      <c r="A1" s="438" t="str">
        <f>KALKULATOR!B124</f>
        <v>Obliczenia wytrzymałości  słupa RPK rozgałęźny przelotowo Lg -krańcowy Lo</v>
      </c>
      <c r="B1">
        <f>KALKULATOR!C124</f>
        <v>0</v>
      </c>
      <c r="C1">
        <f>KALKULATOR!G124</f>
        <v>0</v>
      </c>
      <c r="D1">
        <f>KALKULATOR!I124</f>
        <v>0</v>
      </c>
      <c r="E1">
        <f>KALKULATOR!K124</f>
        <v>0</v>
      </c>
      <c r="F1">
        <f>KALKULATOR!L124</f>
        <v>0</v>
      </c>
    </row>
    <row r="2" spans="1:7">
      <c r="A2" s="439" t="str">
        <f>KALKULATOR!B127</f>
        <v>Obliczona siła -  Pux=</v>
      </c>
      <c r="B2" s="439" t="e">
        <f>KALKULATOR!C127</f>
        <v>#N/A</v>
      </c>
      <c r="C2" s="440" t="str">
        <f>KALKULATOR!G127</f>
        <v>dopuszczalna siła   Pdx =</v>
      </c>
      <c r="D2" s="440" t="e">
        <f>KALKULATOR!I127</f>
        <v>#N/A</v>
      </c>
      <c r="E2" t="e">
        <f>KALKULATOR!K127</f>
        <v>#N/A</v>
      </c>
      <c r="F2" s="441" t="s">
        <v>602</v>
      </c>
      <c r="G2" s="442" t="e">
        <f>KALKULATOR_EL!C127</f>
        <v>#N/A</v>
      </c>
    </row>
    <row r="3" spans="1:7">
      <c r="A3" s="439" t="str">
        <f>KALKULATOR!B128</f>
        <v>Obliczona siła -  Puy=</v>
      </c>
      <c r="B3" s="439" t="e">
        <f>KALKULATOR!C128</f>
        <v>#N/A</v>
      </c>
      <c r="C3" s="440" t="str">
        <f>KALKULATOR!G128</f>
        <v>dopuszczalna siła   Pdy =</v>
      </c>
      <c r="D3" s="440" t="e">
        <f>KALKULATOR!I128</f>
        <v>#N/A</v>
      </c>
      <c r="E3" t="e">
        <f>KALKULATOR!K128</f>
        <v>#N/A</v>
      </c>
      <c r="F3" s="441" t="s">
        <v>603</v>
      </c>
      <c r="G3" s="442" t="e">
        <f>KALKULATOR_EL!C128</f>
        <v>#N/A</v>
      </c>
    </row>
  </sheetData>
  <conditionalFormatting sqref="A1:F1 A2:A3">
    <cfRule type="cellIs" dxfId="7" priority="2" operator="equal">
      <formula>0</formula>
    </cfRule>
  </conditionalFormatting>
  <conditionalFormatting sqref="C2:F3">
    <cfRule type="cellIs" dxfId="6" priority="1" operator="equal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76D23-00AC-4D6A-AA9A-2AABD3A8947F}">
  <dimension ref="A1:G3"/>
  <sheetViews>
    <sheetView workbookViewId="0">
      <selection sqref="A1:G3"/>
    </sheetView>
  </sheetViews>
  <sheetFormatPr defaultRowHeight="12.75"/>
  <cols>
    <col min="1" max="1" width="59.5703125" bestFit="1" customWidth="1"/>
    <col min="2" max="2" width="7" bestFit="1" customWidth="1"/>
    <col min="3" max="3" width="20.7109375" bestFit="1" customWidth="1"/>
    <col min="4" max="4" width="4" bestFit="1" customWidth="1"/>
    <col min="5" max="5" width="16.28515625" bestFit="1" customWidth="1"/>
    <col min="6" max="6" width="42.140625" bestFit="1" customWidth="1"/>
  </cols>
  <sheetData>
    <row r="1" spans="1:7">
      <c r="A1" s="438" t="str">
        <f>KALKULATOR!B135</f>
        <v>Obliczenia wytrzymałości  słupa RNK rozgałęźny narożno Lg -krańcowy Lo</v>
      </c>
      <c r="B1">
        <f>KALKULATOR!C135</f>
        <v>0</v>
      </c>
      <c r="C1">
        <f>KALKULATOR!G135</f>
        <v>0</v>
      </c>
      <c r="D1">
        <f>KALKULATOR!I135</f>
        <v>0</v>
      </c>
      <c r="E1">
        <f>KALKULATOR!K135</f>
        <v>0</v>
      </c>
      <c r="F1">
        <f>KALKULATOR!L135</f>
        <v>0</v>
      </c>
    </row>
    <row r="2" spans="1:7">
      <c r="A2" s="439" t="str">
        <f>KALKULATOR!B140</f>
        <v>Obliczona siła -  Pux=</v>
      </c>
      <c r="B2" s="439" t="e">
        <f>KALKULATOR!C140</f>
        <v>#N/A</v>
      </c>
      <c r="C2" s="440" t="str">
        <f>KALKULATOR!G140</f>
        <v>dopuszczalna siła   Pdx =</v>
      </c>
      <c r="D2" s="440" t="e">
        <f>KALKULATOR!I140</f>
        <v>#N/A</v>
      </c>
      <c r="E2" t="e">
        <f>KALKULATOR!K140</f>
        <v>#N/A</v>
      </c>
      <c r="F2" s="441" t="s">
        <v>602</v>
      </c>
      <c r="G2" s="442" t="e">
        <f>KALKULATOR_EL!C140</f>
        <v>#N/A</v>
      </c>
    </row>
    <row r="3" spans="1:7">
      <c r="A3" s="439" t="str">
        <f>KALKULATOR!B141</f>
        <v>Obliczona siła -  Puy=</v>
      </c>
      <c r="B3" s="439" t="e">
        <f>KALKULATOR!C141</f>
        <v>#N/A</v>
      </c>
      <c r="C3" s="440" t="str">
        <f>KALKULATOR!G141</f>
        <v>dopuszczalna siła   Pdy =</v>
      </c>
      <c r="D3" s="440" t="e">
        <f>KALKULATOR!I141</f>
        <v>#N/A</v>
      </c>
      <c r="E3" t="e">
        <f>KALKULATOR!K141</f>
        <v>#N/A</v>
      </c>
      <c r="F3" s="441" t="s">
        <v>603</v>
      </c>
      <c r="G3" s="442" t="e">
        <f>KALKULATOR_EL!C141</f>
        <v>#N/A</v>
      </c>
    </row>
  </sheetData>
  <conditionalFormatting sqref="A1:F1 A2:A3">
    <cfRule type="cellIs" dxfId="5" priority="2" operator="equal">
      <formula>0</formula>
    </cfRule>
  </conditionalFormatting>
  <conditionalFormatting sqref="C2:F3">
    <cfRule type="cellIs" dxfId="4" priority="1" operator="equal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B7ECC-4309-436A-884A-6B83A13F8A5A}">
  <dimension ref="A1:G3"/>
  <sheetViews>
    <sheetView workbookViewId="0">
      <selection sqref="A1:G3"/>
    </sheetView>
  </sheetViews>
  <sheetFormatPr defaultRowHeight="12.75"/>
  <cols>
    <col min="1" max="1" width="52.140625" bestFit="1" customWidth="1"/>
    <col min="3" max="3" width="20.7109375" bestFit="1" customWidth="1"/>
    <col min="5" max="5" width="16.28515625" bestFit="1" customWidth="1"/>
    <col min="6" max="6" width="42.140625" bestFit="1" customWidth="1"/>
  </cols>
  <sheetData>
    <row r="1" spans="1:7">
      <c r="A1" s="438" t="str">
        <f>KALKULATOR!B146</f>
        <v>Obliczenia wytrzymałości   słupa O odporowy</v>
      </c>
      <c r="B1">
        <f>KALKULATOR!C146</f>
        <v>0</v>
      </c>
      <c r="C1">
        <f>KALKULATOR!G146</f>
        <v>0</v>
      </c>
      <c r="D1">
        <f>KALKULATOR!I146</f>
        <v>0</v>
      </c>
      <c r="E1">
        <f>KALKULATOR!K146</f>
        <v>0</v>
      </c>
      <c r="F1">
        <f>KALKULATOR!L146</f>
        <v>0</v>
      </c>
    </row>
    <row r="2" spans="1:7">
      <c r="A2" s="439" t="str">
        <f>KALKULATOR!B150</f>
        <v>Obliczona siła -  Pux=</v>
      </c>
      <c r="B2" s="439">
        <f>KALKULATOR!C150</f>
        <v>0</v>
      </c>
      <c r="C2" s="440" t="str">
        <f>KALKULATOR!G150</f>
        <v>dopuszczalna siła   Pdx =</v>
      </c>
      <c r="D2" s="440" t="e">
        <f>KALKULATOR!I150</f>
        <v>#N/A</v>
      </c>
      <c r="E2" t="e">
        <f>KALKULATOR!K150</f>
        <v>#N/A</v>
      </c>
      <c r="F2" s="441" t="s">
        <v>602</v>
      </c>
      <c r="G2" s="442">
        <f>KALKULATOR_EL!C150</f>
        <v>0</v>
      </c>
    </row>
    <row r="3" spans="1:7">
      <c r="A3" s="439" t="str">
        <f>KALKULATOR!B151</f>
        <v>Obliczona siła -  Puy=</v>
      </c>
      <c r="B3" s="439" t="e">
        <f>KALKULATOR!C151</f>
        <v>#N/A</v>
      </c>
      <c r="C3" s="440" t="str">
        <f>KALKULATOR!G151</f>
        <v>dopuszczalna siła   Pdy =</v>
      </c>
      <c r="D3" s="440" t="e">
        <f>KALKULATOR!I151</f>
        <v>#N/A</v>
      </c>
      <c r="E3" t="e">
        <f>KALKULATOR!K151</f>
        <v>#N/A</v>
      </c>
      <c r="F3" s="441" t="s">
        <v>603</v>
      </c>
      <c r="G3" s="442" t="e">
        <f>KALKULATOR_EL!C151</f>
        <v>#N/A</v>
      </c>
    </row>
  </sheetData>
  <conditionalFormatting sqref="A1:F1 A2:A3">
    <cfRule type="cellIs" dxfId="3" priority="2" operator="equal">
      <formula>0</formula>
    </cfRule>
  </conditionalFormatting>
  <conditionalFormatting sqref="C2:F3">
    <cfRule type="cellIs" dxfId="2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13</vt:i4>
      </vt:variant>
    </vt:vector>
  </HeadingPairs>
  <TitlesOfParts>
    <vt:vector size="13" baseType="lpstr">
      <vt:lpstr>do zrobienia</vt:lpstr>
      <vt:lpstr>KALKULATOR</vt:lpstr>
      <vt:lpstr>KALKULATOR_EL</vt:lpstr>
      <vt:lpstr>K</vt:lpstr>
      <vt:lpstr>N</vt:lpstr>
      <vt:lpstr>RPP</vt:lpstr>
      <vt:lpstr>RPK</vt:lpstr>
      <vt:lpstr>RNK</vt:lpstr>
      <vt:lpstr>O</vt:lpstr>
      <vt:lpstr>P</vt:lpstr>
      <vt:lpstr>PRZEWODY</vt:lpstr>
      <vt:lpstr>SŁUPY</vt:lpstr>
      <vt:lpstr>OBLICZENIA</vt:lpstr>
    </vt:vector>
  </TitlesOfParts>
  <Manager/>
  <Company>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Marek</dc:creator>
  <cp:keywords/>
  <dc:description/>
  <cp:lastModifiedBy>Bartosz Jakubowski</cp:lastModifiedBy>
  <cp:revision/>
  <cp:lastPrinted>2019-05-28T14:46:29Z</cp:lastPrinted>
  <dcterms:created xsi:type="dcterms:W3CDTF">2010-02-23T14:01:35Z</dcterms:created>
  <dcterms:modified xsi:type="dcterms:W3CDTF">2024-05-25T14:11:44Z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elowi odbiorcy">
    <vt:lpwstr/>
  </property>
  <property fmtid="{D5CDD505-2E9C-101B-9397-08002B2CF9AE}" pid="3" name="ContentTypeId">
    <vt:lpwstr>0x0101004516EE4E877A1D4E95292BEB4A5A8DA1</vt:lpwstr>
  </property>
</Properties>
</file>