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premeventures-my.sharepoint.com/personal/maurice_robertson_svlgrp_com/Documents/Desktop/SALES/"/>
    </mc:Choice>
  </mc:AlternateContent>
  <xr:revisionPtr revIDLastSave="100" documentId="13_ncr:1_{A1B9E7F4-81D7-4025-B036-D6EBC0B47357}" xr6:coauthVersionLast="47" xr6:coauthVersionMax="47" xr10:uidLastSave="{A4414C73-0E21-4B72-B95C-3FA8DD624A52}"/>
  <bookViews>
    <workbookView xWindow="-110" yWindow="-110" windowWidth="19420" windowHeight="10420" firstSheet="42" activeTab="47" xr2:uid="{555D7A1E-9800-45A6-8BBB-8D2FB9C662EE}"/>
  </bookViews>
  <sheets>
    <sheet name="Sheet1" sheetId="1" r:id="rId1"/>
    <sheet name="July 2020" sheetId="3" r:id="rId2"/>
    <sheet name="Aug 2020" sheetId="2" r:id="rId3"/>
    <sheet name="Sept 2020" sheetId="4" r:id="rId4"/>
    <sheet name="Oct 2020" sheetId="5" r:id="rId5"/>
    <sheet name="Nov 2020" sheetId="6" r:id="rId6"/>
    <sheet name="Dec 2020" sheetId="7" r:id="rId7"/>
    <sheet name="Jan 2021" sheetId="8" r:id="rId8"/>
    <sheet name="Feb 2021" sheetId="9" r:id="rId9"/>
    <sheet name="Mar 2021" sheetId="10" r:id="rId10"/>
    <sheet name="April 2021" sheetId="11" r:id="rId11"/>
    <sheet name="May 2021" sheetId="12" r:id="rId12"/>
    <sheet name="June 2021" sheetId="13" r:id="rId13"/>
    <sheet name="July 2021" sheetId="14" r:id="rId14"/>
    <sheet name="Aug 2021" sheetId="15" r:id="rId15"/>
    <sheet name="Sept 2021" sheetId="16" r:id="rId16"/>
    <sheet name="Oct 2021" sheetId="17" r:id="rId17"/>
    <sheet name="Sheet2" sheetId="29" r:id="rId18"/>
    <sheet name="Nov 2021" sheetId="18" r:id="rId19"/>
    <sheet name="Dec 2021" sheetId="19" r:id="rId20"/>
    <sheet name="Jan 2022" sheetId="20" r:id="rId21"/>
    <sheet name="Feb 2022" sheetId="21" r:id="rId22"/>
    <sheet name="March 2022" sheetId="22" r:id="rId23"/>
    <sheet name="April 2022" sheetId="23" r:id="rId24"/>
    <sheet name="May 2022" sheetId="24" r:id="rId25"/>
    <sheet name="June 2022" sheetId="25" r:id="rId26"/>
    <sheet name="July 2022" sheetId="26" r:id="rId27"/>
    <sheet name="August 2022" sheetId="27" r:id="rId28"/>
    <sheet name="September 2022" sheetId="28" r:id="rId29"/>
    <sheet name="October 2022" sheetId="30" r:id="rId30"/>
    <sheet name="November 2022" sheetId="31" r:id="rId31"/>
    <sheet name="December 2022" sheetId="32" r:id="rId32"/>
    <sheet name="January 2023" sheetId="33" r:id="rId33"/>
    <sheet name="February 2023" sheetId="34" r:id="rId34"/>
    <sheet name="March 2023" sheetId="35" r:id="rId35"/>
    <sheet name="April 2023" sheetId="36" r:id="rId36"/>
    <sheet name="May 2023" sheetId="37" r:id="rId37"/>
    <sheet name="June 2023" sheetId="39" r:id="rId38"/>
    <sheet name="July 2023" sheetId="40" r:id="rId39"/>
    <sheet name="August 2023" sheetId="41" r:id="rId40"/>
    <sheet name="September 2023" sheetId="42" r:id="rId41"/>
    <sheet name="October 2023" sheetId="43" r:id="rId42"/>
    <sheet name="November 2023" sheetId="44" r:id="rId43"/>
    <sheet name="December 2023" sheetId="45" r:id="rId44"/>
    <sheet name="January 2024" sheetId="46" r:id="rId45"/>
    <sheet name="February 2024" sheetId="47" r:id="rId46"/>
    <sheet name="March 2024" sheetId="48" r:id="rId47"/>
    <sheet name="April 2024" sheetId="49" r:id="rId48"/>
  </sheets>
  <externalReferences>
    <externalReference r:id="rId4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49" l="1"/>
  <c r="G22" i="49"/>
  <c r="B22" i="49"/>
  <c r="L20" i="49"/>
  <c r="K20" i="49"/>
  <c r="I20" i="49"/>
  <c r="D20" i="49"/>
  <c r="K19" i="49"/>
  <c r="I19" i="49"/>
  <c r="C19" i="49"/>
  <c r="D19" i="49" s="1"/>
  <c r="L18" i="49"/>
  <c r="K18" i="49"/>
  <c r="I18" i="49"/>
  <c r="D18" i="49"/>
  <c r="L17" i="49"/>
  <c r="K17" i="49"/>
  <c r="I17" i="49"/>
  <c r="D17" i="49"/>
  <c r="K16" i="49"/>
  <c r="I16" i="49"/>
  <c r="C16" i="49"/>
  <c r="L16" i="49" s="1"/>
  <c r="I12" i="49"/>
  <c r="H12" i="49"/>
  <c r="G12" i="49"/>
  <c r="C12" i="49"/>
  <c r="B12" i="49"/>
  <c r="I11" i="49"/>
  <c r="H11" i="49"/>
  <c r="G11" i="49"/>
  <c r="C11" i="49"/>
  <c r="B11" i="49"/>
  <c r="K11" i="49" s="1"/>
  <c r="M10" i="49"/>
  <c r="L10" i="49"/>
  <c r="K10" i="49"/>
  <c r="M9" i="49"/>
  <c r="L9" i="49"/>
  <c r="K9" i="49"/>
  <c r="M8" i="49"/>
  <c r="L8" i="49"/>
  <c r="K8" i="49"/>
  <c r="L7" i="49"/>
  <c r="K7" i="49"/>
  <c r="M7" i="49"/>
  <c r="M6" i="49"/>
  <c r="L6" i="49"/>
  <c r="K6" i="49"/>
  <c r="M5" i="49"/>
  <c r="L5" i="49"/>
  <c r="K5" i="49"/>
  <c r="M4" i="49"/>
  <c r="L4" i="49"/>
  <c r="K4" i="49"/>
  <c r="D12" i="49"/>
  <c r="M3" i="49"/>
  <c r="L3" i="49"/>
  <c r="K3" i="49"/>
  <c r="H12" i="48"/>
  <c r="H25" i="48"/>
  <c r="I22" i="48"/>
  <c r="I23" i="48"/>
  <c r="I24" i="48"/>
  <c r="L22" i="48"/>
  <c r="L23" i="48"/>
  <c r="L24" i="48"/>
  <c r="D16" i="49" l="1"/>
  <c r="C22" i="49"/>
  <c r="D22" i="49" s="1"/>
  <c r="L19" i="49"/>
  <c r="L22" i="49" s="1"/>
  <c r="K22" i="49"/>
  <c r="I22" i="49"/>
  <c r="K12" i="49"/>
  <c r="L11" i="49"/>
  <c r="H24" i="49"/>
  <c r="L12" i="49"/>
  <c r="M12" i="49"/>
  <c r="M11" i="49"/>
  <c r="D11" i="49"/>
  <c r="H13" i="49"/>
  <c r="I8" i="48"/>
  <c r="C24" i="49" l="1"/>
  <c r="L24" i="49"/>
  <c r="I7" i="48" l="1"/>
  <c r="H19" i="48" l="1"/>
  <c r="I4" i="48" l="1"/>
  <c r="G25" i="48" l="1"/>
  <c r="B25" i="48"/>
  <c r="L21" i="48"/>
  <c r="L25" i="48" s="1"/>
  <c r="K21" i="48"/>
  <c r="I21" i="48"/>
  <c r="D21" i="48"/>
  <c r="L20" i="48"/>
  <c r="K20" i="48"/>
  <c r="I20" i="48"/>
  <c r="D20" i="48"/>
  <c r="L19" i="48"/>
  <c r="K19" i="48"/>
  <c r="I19" i="48"/>
  <c r="D19" i="48"/>
  <c r="L18" i="48"/>
  <c r="K18" i="48"/>
  <c r="I18" i="48"/>
  <c r="D18" i="48"/>
  <c r="K17" i="48"/>
  <c r="I17" i="48"/>
  <c r="C25" i="48"/>
  <c r="H13" i="48"/>
  <c r="G13" i="48"/>
  <c r="D13" i="48"/>
  <c r="C13" i="48"/>
  <c r="B13" i="48"/>
  <c r="G12" i="48"/>
  <c r="E12" i="48"/>
  <c r="D12" i="48"/>
  <c r="C12" i="48"/>
  <c r="B12" i="48"/>
  <c r="M11" i="48"/>
  <c r="L11" i="48"/>
  <c r="M10" i="48"/>
  <c r="L10" i="48"/>
  <c r="K10" i="48"/>
  <c r="M9" i="48"/>
  <c r="L9" i="48"/>
  <c r="K9" i="48"/>
  <c r="M8" i="48"/>
  <c r="L8" i="48"/>
  <c r="K8" i="48"/>
  <c r="M7" i="48"/>
  <c r="L7" i="48"/>
  <c r="K7" i="48"/>
  <c r="L6" i="48"/>
  <c r="K6" i="48"/>
  <c r="I12" i="48"/>
  <c r="M5" i="48"/>
  <c r="L5" i="48"/>
  <c r="K5" i="48"/>
  <c r="M4" i="48"/>
  <c r="L4" i="48"/>
  <c r="K4" i="48"/>
  <c r="M3" i="48"/>
  <c r="L3" i="48"/>
  <c r="K3" i="48"/>
  <c r="I18" i="47"/>
  <c r="I19" i="47"/>
  <c r="I20" i="47"/>
  <c r="I21" i="47"/>
  <c r="H14" i="48" l="1"/>
  <c r="K13" i="48"/>
  <c r="K12" i="48"/>
  <c r="K25" i="48"/>
  <c r="I25" i="48"/>
  <c r="L13" i="48"/>
  <c r="C27" i="48"/>
  <c r="D25" i="48"/>
  <c r="H27" i="48"/>
  <c r="J12" i="48"/>
  <c r="I13" i="48"/>
  <c r="L12" i="48"/>
  <c r="L17" i="48"/>
  <c r="M6" i="48"/>
  <c r="M12" i="48" s="1"/>
  <c r="D17" i="48"/>
  <c r="L21" i="47"/>
  <c r="H20" i="47"/>
  <c r="L20" i="47"/>
  <c r="L19" i="47"/>
  <c r="I6" i="47"/>
  <c r="J12" i="47" s="1"/>
  <c r="H12" i="47"/>
  <c r="I17" i="47"/>
  <c r="H18" i="47"/>
  <c r="C17" i="47"/>
  <c r="C24" i="47" s="1"/>
  <c r="G24" i="47"/>
  <c r="B24" i="47"/>
  <c r="L22" i="47"/>
  <c r="K21" i="47"/>
  <c r="D21" i="47"/>
  <c r="K20" i="47"/>
  <c r="D20" i="47"/>
  <c r="K19" i="47"/>
  <c r="D19" i="47"/>
  <c r="K18" i="47"/>
  <c r="D18" i="47"/>
  <c r="K17" i="47"/>
  <c r="H13" i="47"/>
  <c r="G13" i="47"/>
  <c r="D13" i="47"/>
  <c r="C13" i="47"/>
  <c r="B13" i="47"/>
  <c r="G12" i="47"/>
  <c r="E12" i="47"/>
  <c r="D12" i="47"/>
  <c r="C12" i="47"/>
  <c r="B12" i="47"/>
  <c r="M11" i="47"/>
  <c r="L11" i="47"/>
  <c r="M10" i="47"/>
  <c r="L10" i="47"/>
  <c r="K10" i="47"/>
  <c r="M9" i="47"/>
  <c r="L9" i="47"/>
  <c r="K9" i="47"/>
  <c r="M8" i="47"/>
  <c r="L8" i="47"/>
  <c r="K8" i="47"/>
  <c r="M7" i="47"/>
  <c r="L7" i="47"/>
  <c r="K7" i="47"/>
  <c r="M6" i="47"/>
  <c r="L6" i="47"/>
  <c r="K6" i="47"/>
  <c r="M5" i="47"/>
  <c r="L5" i="47"/>
  <c r="K5" i="47"/>
  <c r="M4" i="47"/>
  <c r="L4" i="47"/>
  <c r="K4" i="47"/>
  <c r="M3" i="47"/>
  <c r="L3" i="47"/>
  <c r="K3" i="47"/>
  <c r="H20" i="46"/>
  <c r="H19" i="46"/>
  <c r="M13" i="48" l="1"/>
  <c r="L27" i="48"/>
  <c r="I12" i="47"/>
  <c r="I13" i="47"/>
  <c r="L17" i="47"/>
  <c r="L24" i="47" s="1"/>
  <c r="L18" i="47"/>
  <c r="H24" i="47"/>
  <c r="I24" i="47" s="1"/>
  <c r="D17" i="47"/>
  <c r="C26" i="47"/>
  <c r="D24" i="47"/>
  <c r="K12" i="47"/>
  <c r="K13" i="47"/>
  <c r="K24" i="47"/>
  <c r="M13" i="47"/>
  <c r="L13" i="47"/>
  <c r="L12" i="47"/>
  <c r="M12" i="47"/>
  <c r="H14" i="47"/>
  <c r="I17" i="46"/>
  <c r="H24" i="46"/>
  <c r="G24" i="46"/>
  <c r="B24" i="46"/>
  <c r="L22" i="46"/>
  <c r="L21" i="46"/>
  <c r="K21" i="46"/>
  <c r="I21" i="46"/>
  <c r="D21" i="46"/>
  <c r="L20" i="46"/>
  <c r="K20" i="46"/>
  <c r="I20" i="46"/>
  <c r="D20" i="46"/>
  <c r="L19" i="46"/>
  <c r="K19" i="46"/>
  <c r="I19" i="46"/>
  <c r="D19" i="46"/>
  <c r="L18" i="46"/>
  <c r="K18" i="46"/>
  <c r="I18" i="46"/>
  <c r="D18" i="46"/>
  <c r="K17" i="46"/>
  <c r="H13" i="46"/>
  <c r="G13" i="46"/>
  <c r="D13" i="46"/>
  <c r="C13" i="46"/>
  <c r="B13" i="46"/>
  <c r="I12" i="46"/>
  <c r="H12" i="46"/>
  <c r="G12" i="46"/>
  <c r="C12" i="46"/>
  <c r="B12" i="46"/>
  <c r="M11" i="46"/>
  <c r="L11" i="46"/>
  <c r="L10" i="46"/>
  <c r="K10" i="46"/>
  <c r="E12" i="46"/>
  <c r="M9" i="46"/>
  <c r="L9" i="46"/>
  <c r="K9" i="46"/>
  <c r="M8" i="46"/>
  <c r="L8" i="46"/>
  <c r="K8" i="46"/>
  <c r="M7" i="46"/>
  <c r="L7" i="46"/>
  <c r="K7" i="46"/>
  <c r="M6" i="46"/>
  <c r="L6" i="46"/>
  <c r="K6" i="46"/>
  <c r="L5" i="46"/>
  <c r="K5" i="46"/>
  <c r="M5" i="46"/>
  <c r="M4" i="46"/>
  <c r="L4" i="46"/>
  <c r="K4" i="46"/>
  <c r="M3" i="46"/>
  <c r="L3" i="46"/>
  <c r="K3" i="46"/>
  <c r="H13" i="45"/>
  <c r="D14" i="45"/>
  <c r="C14" i="45"/>
  <c r="B14" i="45"/>
  <c r="G14" i="45"/>
  <c r="G13" i="45"/>
  <c r="H14" i="45"/>
  <c r="I14" i="45"/>
  <c r="M11" i="45"/>
  <c r="M12" i="45"/>
  <c r="L11" i="45"/>
  <c r="L12" i="45"/>
  <c r="L9" i="45"/>
  <c r="L10" i="45"/>
  <c r="I13" i="45"/>
  <c r="I5" i="45"/>
  <c r="L26" i="47" l="1"/>
  <c r="H26" i="47"/>
  <c r="L17" i="46"/>
  <c r="L24" i="46" s="1"/>
  <c r="H26" i="46"/>
  <c r="I24" i="46"/>
  <c r="H14" i="46"/>
  <c r="K24" i="46"/>
  <c r="K12" i="46"/>
  <c r="K13" i="46"/>
  <c r="L13" i="46"/>
  <c r="L12" i="46"/>
  <c r="D17" i="46"/>
  <c r="J12" i="46"/>
  <c r="I13" i="46"/>
  <c r="C24" i="46"/>
  <c r="D24" i="46" s="1"/>
  <c r="M10" i="46"/>
  <c r="M12" i="46" s="1"/>
  <c r="D12" i="46"/>
  <c r="D13" i="45"/>
  <c r="C13" i="45"/>
  <c r="B13" i="45"/>
  <c r="D11" i="45"/>
  <c r="L26" i="46" l="1"/>
  <c r="C26" i="46"/>
  <c r="M13" i="46"/>
  <c r="I23" i="45"/>
  <c r="H15" i="45"/>
  <c r="C21" i="45"/>
  <c r="D21" i="45" s="1"/>
  <c r="C18" i="45"/>
  <c r="C25" i="45" s="1"/>
  <c r="D25" i="45" s="1"/>
  <c r="G25" i="45"/>
  <c r="B25" i="45"/>
  <c r="L23" i="45"/>
  <c r="L22" i="45"/>
  <c r="K22" i="45"/>
  <c r="I22" i="45"/>
  <c r="D22" i="45"/>
  <c r="L21" i="45"/>
  <c r="K21" i="45"/>
  <c r="I21" i="45"/>
  <c r="K20" i="45"/>
  <c r="I20" i="45"/>
  <c r="D20" i="45"/>
  <c r="L19" i="45"/>
  <c r="K19" i="45"/>
  <c r="I19" i="45"/>
  <c r="D19" i="45"/>
  <c r="K18" i="45"/>
  <c r="I18" i="45"/>
  <c r="D10" i="45"/>
  <c r="J13" i="45"/>
  <c r="M10" i="45"/>
  <c r="K10" i="45"/>
  <c r="M9" i="45"/>
  <c r="K9" i="45"/>
  <c r="M8" i="45"/>
  <c r="L8" i="45"/>
  <c r="K8" i="45"/>
  <c r="M7" i="45"/>
  <c r="L7" i="45"/>
  <c r="K7" i="45"/>
  <c r="M6" i="45"/>
  <c r="L6" i="45"/>
  <c r="K6" i="45"/>
  <c r="M5" i="45"/>
  <c r="L5" i="45"/>
  <c r="K5" i="45"/>
  <c r="M4" i="45"/>
  <c r="L4" i="45"/>
  <c r="K4" i="45"/>
  <c r="M3" i="45"/>
  <c r="L3" i="45"/>
  <c r="K3" i="45"/>
  <c r="I21" i="44"/>
  <c r="H13" i="44"/>
  <c r="H19" i="44"/>
  <c r="I19" i="44" s="1"/>
  <c r="D21" i="44"/>
  <c r="D20" i="44"/>
  <c r="D19" i="44"/>
  <c r="D18" i="44"/>
  <c r="D17" i="44"/>
  <c r="G24" i="44"/>
  <c r="B24" i="44"/>
  <c r="L22" i="44"/>
  <c r="L21" i="44"/>
  <c r="K21" i="44"/>
  <c r="L20" i="44"/>
  <c r="K20" i="44"/>
  <c r="I20" i="44"/>
  <c r="L19" i="44"/>
  <c r="K19" i="44"/>
  <c r="K18" i="44"/>
  <c r="I18" i="44"/>
  <c r="C24" i="44"/>
  <c r="D24" i="44" s="1"/>
  <c r="L17" i="44"/>
  <c r="K17" i="44"/>
  <c r="I17" i="44"/>
  <c r="I13" i="44"/>
  <c r="G13" i="44"/>
  <c r="D13" i="44"/>
  <c r="C13" i="44"/>
  <c r="B13" i="44"/>
  <c r="I12" i="44"/>
  <c r="H12" i="44"/>
  <c r="G12" i="44"/>
  <c r="D12" i="44"/>
  <c r="C12" i="44"/>
  <c r="B12" i="44"/>
  <c r="M10" i="44"/>
  <c r="K10" i="44"/>
  <c r="M9" i="44"/>
  <c r="K9" i="44"/>
  <c r="M8" i="44"/>
  <c r="L8" i="44"/>
  <c r="K8" i="44"/>
  <c r="M7" i="44"/>
  <c r="L7" i="44"/>
  <c r="K7" i="44"/>
  <c r="M6" i="44"/>
  <c r="L6" i="44"/>
  <c r="K6" i="44"/>
  <c r="M5" i="44"/>
  <c r="L5" i="44"/>
  <c r="K5" i="44"/>
  <c r="M4" i="44"/>
  <c r="L4" i="44"/>
  <c r="K4" i="44"/>
  <c r="M3" i="44"/>
  <c r="L3" i="44"/>
  <c r="K3" i="44"/>
  <c r="H21" i="43"/>
  <c r="L21" i="43" s="1"/>
  <c r="K10" i="43"/>
  <c r="M10" i="43"/>
  <c r="I19" i="43"/>
  <c r="D22" i="43"/>
  <c r="L22" i="43"/>
  <c r="C19" i="43"/>
  <c r="C18" i="43"/>
  <c r="L18" i="43" s="1"/>
  <c r="G24" i="43"/>
  <c r="B24" i="43"/>
  <c r="K21" i="43"/>
  <c r="D21" i="43"/>
  <c r="K20" i="43"/>
  <c r="L20" i="43"/>
  <c r="D20" i="43"/>
  <c r="K19" i="43"/>
  <c r="K18" i="43"/>
  <c r="I18" i="43"/>
  <c r="L17" i="43"/>
  <c r="K17" i="43"/>
  <c r="I17" i="43"/>
  <c r="D17" i="43"/>
  <c r="I13" i="43"/>
  <c r="H13" i="43"/>
  <c r="G13" i="43"/>
  <c r="D13" i="43"/>
  <c r="C13" i="43"/>
  <c r="B13" i="43"/>
  <c r="I12" i="43"/>
  <c r="H12" i="43"/>
  <c r="G12" i="43"/>
  <c r="D12" i="43"/>
  <c r="C12" i="43"/>
  <c r="B12" i="43"/>
  <c r="L10" i="43"/>
  <c r="M9" i="43"/>
  <c r="L9" i="43"/>
  <c r="K9" i="43"/>
  <c r="M8" i="43"/>
  <c r="L8" i="43"/>
  <c r="K8" i="43"/>
  <c r="M7" i="43"/>
  <c r="L7" i="43"/>
  <c r="K7" i="43"/>
  <c r="M6" i="43"/>
  <c r="L6" i="43"/>
  <c r="K6" i="43"/>
  <c r="M5" i="43"/>
  <c r="L5" i="43"/>
  <c r="K5" i="43"/>
  <c r="M4" i="43"/>
  <c r="L4" i="43"/>
  <c r="K4" i="43"/>
  <c r="M3" i="43"/>
  <c r="L3" i="43"/>
  <c r="K3" i="43"/>
  <c r="L21" i="42"/>
  <c r="H20" i="42"/>
  <c r="L20" i="42" s="1"/>
  <c r="H24" i="42"/>
  <c r="D21" i="42"/>
  <c r="D20" i="42"/>
  <c r="C19" i="42"/>
  <c r="D18" i="42"/>
  <c r="D17" i="42"/>
  <c r="G24" i="42"/>
  <c r="B24" i="42"/>
  <c r="L22" i="42"/>
  <c r="K21" i="42"/>
  <c r="I21" i="42"/>
  <c r="K20" i="42"/>
  <c r="K19" i="42"/>
  <c r="I19" i="42"/>
  <c r="L18" i="42"/>
  <c r="K18" i="42"/>
  <c r="I18" i="42"/>
  <c r="L17" i="42"/>
  <c r="K17" i="42"/>
  <c r="I17" i="42"/>
  <c r="I13" i="42"/>
  <c r="H13" i="42"/>
  <c r="G13" i="42"/>
  <c r="I12" i="42"/>
  <c r="H12" i="42"/>
  <c r="G12" i="42"/>
  <c r="L10" i="42"/>
  <c r="L9" i="42"/>
  <c r="M9" i="42"/>
  <c r="K9" i="42"/>
  <c r="K8" i="42"/>
  <c r="M8" i="42"/>
  <c r="L8" i="42"/>
  <c r="M7" i="42"/>
  <c r="L7" i="42"/>
  <c r="K7" i="42"/>
  <c r="M6" i="42"/>
  <c r="L6" i="42"/>
  <c r="K6" i="42"/>
  <c r="M5" i="42"/>
  <c r="L5" i="42"/>
  <c r="C12" i="42"/>
  <c r="B12" i="42"/>
  <c r="M4" i="42"/>
  <c r="L4" i="42"/>
  <c r="K4" i="42"/>
  <c r="B13" i="42"/>
  <c r="L3" i="42"/>
  <c r="K3" i="42"/>
  <c r="D13" i="42"/>
  <c r="C13" i="42"/>
  <c r="L10" i="41"/>
  <c r="M14" i="45" l="1"/>
  <c r="M13" i="45"/>
  <c r="K13" i="45"/>
  <c r="K14" i="45"/>
  <c r="L14" i="45"/>
  <c r="L13" i="45"/>
  <c r="D18" i="45"/>
  <c r="K25" i="45"/>
  <c r="L18" i="45"/>
  <c r="H25" i="45"/>
  <c r="L20" i="45"/>
  <c r="C27" i="45"/>
  <c r="E13" i="45"/>
  <c r="H24" i="44"/>
  <c r="I24" i="44" s="1"/>
  <c r="H14" i="44"/>
  <c r="C26" i="44"/>
  <c r="K24" i="44"/>
  <c r="K13" i="44"/>
  <c r="M13" i="44"/>
  <c r="K12" i="44"/>
  <c r="L13" i="44"/>
  <c r="L12" i="44"/>
  <c r="M12" i="44"/>
  <c r="L18" i="44"/>
  <c r="L24" i="44" s="1"/>
  <c r="I21" i="43"/>
  <c r="L19" i="43"/>
  <c r="L24" i="43" s="1"/>
  <c r="C24" i="43"/>
  <c r="D24" i="43" s="1"/>
  <c r="D18" i="43"/>
  <c r="L13" i="43"/>
  <c r="K12" i="43"/>
  <c r="K13" i="43"/>
  <c r="K24" i="43"/>
  <c r="H14" i="43"/>
  <c r="M13" i="43"/>
  <c r="M12" i="43"/>
  <c r="L12" i="43"/>
  <c r="D19" i="43"/>
  <c r="H24" i="43"/>
  <c r="I24" i="43" s="1"/>
  <c r="I20" i="43"/>
  <c r="I20" i="42"/>
  <c r="L19" i="42"/>
  <c r="L24" i="42" s="1"/>
  <c r="C24" i="42"/>
  <c r="D24" i="42" s="1"/>
  <c r="D19" i="42"/>
  <c r="C26" i="42"/>
  <c r="K24" i="42"/>
  <c r="I24" i="42"/>
  <c r="K12" i="42"/>
  <c r="H26" i="42"/>
  <c r="L12" i="42"/>
  <c r="D12" i="42"/>
  <c r="K5" i="42"/>
  <c r="K13" i="42" s="1"/>
  <c r="L13" i="42"/>
  <c r="M3" i="42"/>
  <c r="H14" i="42"/>
  <c r="H17" i="41"/>
  <c r="L17" i="41" s="1"/>
  <c r="D4" i="41"/>
  <c r="M4" i="41" s="1"/>
  <c r="D5" i="41"/>
  <c r="D6" i="41"/>
  <c r="D7" i="41"/>
  <c r="D8" i="41"/>
  <c r="D9" i="41"/>
  <c r="D10" i="41"/>
  <c r="D3" i="41"/>
  <c r="M3" i="41" s="1"/>
  <c r="C4" i="41"/>
  <c r="L4" i="41" s="1"/>
  <c r="C5" i="41"/>
  <c r="C6" i="41"/>
  <c r="C7" i="41"/>
  <c r="L7" i="41" s="1"/>
  <c r="C8" i="41"/>
  <c r="C9" i="41"/>
  <c r="C10" i="41"/>
  <c r="C3" i="41"/>
  <c r="B4" i="41"/>
  <c r="K4" i="41" s="1"/>
  <c r="B5" i="41"/>
  <c r="B6" i="41"/>
  <c r="B7" i="41"/>
  <c r="K7" i="41" s="1"/>
  <c r="B8" i="41"/>
  <c r="B9" i="41"/>
  <c r="K9" i="41" s="1"/>
  <c r="B10" i="41"/>
  <c r="B3" i="41"/>
  <c r="K3" i="41" s="1"/>
  <c r="K8" i="41"/>
  <c r="K6" i="41"/>
  <c r="M5" i="41"/>
  <c r="A4" i="41"/>
  <c r="A5" i="41"/>
  <c r="A6" i="41"/>
  <c r="A7" i="41"/>
  <c r="A8" i="41"/>
  <c r="A9" i="41"/>
  <c r="A10" i="41"/>
  <c r="A3" i="41"/>
  <c r="L5" i="41"/>
  <c r="G24" i="41"/>
  <c r="C24" i="41"/>
  <c r="B24" i="41"/>
  <c r="L21" i="41"/>
  <c r="K21" i="41"/>
  <c r="I21" i="41"/>
  <c r="D21" i="41"/>
  <c r="L20" i="41"/>
  <c r="K20" i="41"/>
  <c r="I20" i="41"/>
  <c r="D20" i="41"/>
  <c r="K19" i="41"/>
  <c r="I19" i="41"/>
  <c r="H24" i="41"/>
  <c r="D19" i="41"/>
  <c r="L18" i="41"/>
  <c r="K18" i="41"/>
  <c r="I18" i="41"/>
  <c r="D18" i="41"/>
  <c r="K17" i="41"/>
  <c r="I17" i="41"/>
  <c r="D17" i="41"/>
  <c r="H13" i="41"/>
  <c r="G13" i="41"/>
  <c r="H12" i="41"/>
  <c r="G12" i="41"/>
  <c r="M9" i="41"/>
  <c r="L9" i="41"/>
  <c r="L8" i="41"/>
  <c r="I13" i="41"/>
  <c r="M7" i="41"/>
  <c r="L6" i="41"/>
  <c r="K5" i="41"/>
  <c r="H21" i="40"/>
  <c r="I8" i="40"/>
  <c r="H19" i="40"/>
  <c r="L25" i="45" l="1"/>
  <c r="L27" i="45" s="1"/>
  <c r="H27" i="45"/>
  <c r="I25" i="45"/>
  <c r="H26" i="44"/>
  <c r="L26" i="44"/>
  <c r="L26" i="43"/>
  <c r="C26" i="43"/>
  <c r="H26" i="43"/>
  <c r="L26" i="42"/>
  <c r="M13" i="42"/>
  <c r="M12" i="42"/>
  <c r="D24" i="41"/>
  <c r="D13" i="41"/>
  <c r="D12" i="41"/>
  <c r="C13" i="41"/>
  <c r="C12" i="41"/>
  <c r="C26" i="41" s="1"/>
  <c r="L3" i="41"/>
  <c r="L12" i="41" s="1"/>
  <c r="B12" i="41"/>
  <c r="K12" i="41" s="1"/>
  <c r="B13" i="41"/>
  <c r="K13" i="41"/>
  <c r="M6" i="41"/>
  <c r="K24" i="41"/>
  <c r="I24" i="41"/>
  <c r="H26" i="41"/>
  <c r="L19" i="41"/>
  <c r="L24" i="41" s="1"/>
  <c r="L22" i="41"/>
  <c r="M8" i="41"/>
  <c r="H14" i="41"/>
  <c r="I12" i="41"/>
  <c r="L22" i="40"/>
  <c r="I18" i="40"/>
  <c r="I19" i="40"/>
  <c r="I20" i="40"/>
  <c r="I21" i="40"/>
  <c r="I22" i="40"/>
  <c r="I17" i="40"/>
  <c r="G24" i="40"/>
  <c r="C24" i="40"/>
  <c r="C26" i="40" s="1"/>
  <c r="B24" i="40"/>
  <c r="L21" i="40"/>
  <c r="K21" i="40"/>
  <c r="D21" i="40"/>
  <c r="K20" i="40"/>
  <c r="L20" i="40"/>
  <c r="D20" i="40"/>
  <c r="L19" i="40"/>
  <c r="K19" i="40"/>
  <c r="D19" i="40"/>
  <c r="L18" i="40"/>
  <c r="K18" i="40"/>
  <c r="D18" i="40"/>
  <c r="L17" i="40"/>
  <c r="K17" i="40"/>
  <c r="D17" i="40"/>
  <c r="I13" i="40"/>
  <c r="H13" i="40"/>
  <c r="G13" i="40"/>
  <c r="D13" i="40"/>
  <c r="C13" i="40"/>
  <c r="B13" i="40"/>
  <c r="I12" i="40"/>
  <c r="H12" i="40"/>
  <c r="G12" i="40"/>
  <c r="D12" i="40"/>
  <c r="C12" i="40"/>
  <c r="B12" i="40"/>
  <c r="M9" i="40"/>
  <c r="L9" i="40"/>
  <c r="K9" i="40"/>
  <c r="M8" i="40"/>
  <c r="L8" i="40"/>
  <c r="K8" i="40"/>
  <c r="M7" i="40"/>
  <c r="L7" i="40"/>
  <c r="K7" i="40"/>
  <c r="M6" i="40"/>
  <c r="L6" i="40"/>
  <c r="K6" i="40"/>
  <c r="M5" i="40"/>
  <c r="L5" i="40"/>
  <c r="K5" i="40"/>
  <c r="M4" i="40"/>
  <c r="L4" i="40"/>
  <c r="K4" i="40"/>
  <c r="M3" i="40"/>
  <c r="L3" i="40"/>
  <c r="K3" i="40"/>
  <c r="H20" i="39"/>
  <c r="I20" i="39"/>
  <c r="H18" i="39"/>
  <c r="C21" i="39"/>
  <c r="L21" i="39" s="1"/>
  <c r="C20" i="39"/>
  <c r="G24" i="39"/>
  <c r="B24" i="39"/>
  <c r="K21" i="39"/>
  <c r="I21" i="39"/>
  <c r="K20" i="39"/>
  <c r="K19" i="39"/>
  <c r="K18" i="39"/>
  <c r="D18" i="39"/>
  <c r="L17" i="39"/>
  <c r="K17" i="39"/>
  <c r="I17" i="39"/>
  <c r="D17" i="39"/>
  <c r="I13" i="39"/>
  <c r="H13" i="39"/>
  <c r="G13" i="39"/>
  <c r="D13" i="39"/>
  <c r="C13" i="39"/>
  <c r="B13" i="39"/>
  <c r="I12" i="39"/>
  <c r="H12" i="39"/>
  <c r="G12" i="39"/>
  <c r="D12" i="39"/>
  <c r="C12" i="39"/>
  <c r="B12" i="39"/>
  <c r="M9" i="39"/>
  <c r="L9" i="39"/>
  <c r="K9" i="39"/>
  <c r="M8" i="39"/>
  <c r="L8" i="39"/>
  <c r="K8" i="39"/>
  <c r="M7" i="39"/>
  <c r="L7" i="39"/>
  <c r="K7" i="39"/>
  <c r="M6" i="39"/>
  <c r="L6" i="39"/>
  <c r="K6" i="39"/>
  <c r="M5" i="39"/>
  <c r="L5" i="39"/>
  <c r="K5" i="39"/>
  <c r="M4" i="39"/>
  <c r="L4" i="39"/>
  <c r="K4" i="39"/>
  <c r="M3" i="39"/>
  <c r="L3" i="39"/>
  <c r="K3" i="39"/>
  <c r="B12" i="37"/>
  <c r="G12" i="37"/>
  <c r="L17" i="37"/>
  <c r="C21" i="37"/>
  <c r="D21" i="37" s="1"/>
  <c r="C20" i="37"/>
  <c r="D20" i="37" s="1"/>
  <c r="C19" i="37"/>
  <c r="L19" i="37" s="1"/>
  <c r="C18" i="37"/>
  <c r="L18" i="37" s="1"/>
  <c r="D17" i="37"/>
  <c r="G24" i="37"/>
  <c r="B24" i="37"/>
  <c r="K21" i="37"/>
  <c r="K20" i="37"/>
  <c r="I20" i="37"/>
  <c r="K19" i="37"/>
  <c r="I19" i="37"/>
  <c r="K18" i="37"/>
  <c r="I18" i="37"/>
  <c r="K17" i="37"/>
  <c r="I13" i="37"/>
  <c r="H13" i="37"/>
  <c r="G13" i="37"/>
  <c r="C13" i="37"/>
  <c r="B13" i="37"/>
  <c r="I12" i="37"/>
  <c r="H12" i="37"/>
  <c r="C12" i="37"/>
  <c r="M9" i="37"/>
  <c r="L9" i="37"/>
  <c r="K9" i="37"/>
  <c r="M8" i="37"/>
  <c r="L8" i="37"/>
  <c r="K8" i="37"/>
  <c r="L7" i="37"/>
  <c r="K7" i="37"/>
  <c r="M7" i="37"/>
  <c r="M6" i="37"/>
  <c r="L6" i="37"/>
  <c r="K6" i="37"/>
  <c r="M5" i="37"/>
  <c r="L5" i="37"/>
  <c r="K5" i="37"/>
  <c r="L4" i="37"/>
  <c r="K4" i="37"/>
  <c r="D13" i="37"/>
  <c r="M3" i="37"/>
  <c r="L3" i="37"/>
  <c r="K3" i="37"/>
  <c r="M13" i="41" l="1"/>
  <c r="L13" i="41"/>
  <c r="L26" i="41"/>
  <c r="M12" i="41"/>
  <c r="L12" i="40"/>
  <c r="K12" i="40"/>
  <c r="K24" i="40"/>
  <c r="H14" i="40"/>
  <c r="L24" i="40"/>
  <c r="M13" i="40"/>
  <c r="K13" i="40"/>
  <c r="D24" i="40"/>
  <c r="H24" i="40"/>
  <c r="I24" i="40" s="1"/>
  <c r="M12" i="40"/>
  <c r="L13" i="40"/>
  <c r="L20" i="39"/>
  <c r="K12" i="37"/>
  <c r="H24" i="39"/>
  <c r="H26" i="39" s="1"/>
  <c r="K12" i="39"/>
  <c r="L21" i="37"/>
  <c r="I18" i="39"/>
  <c r="C24" i="37"/>
  <c r="D24" i="37" s="1"/>
  <c r="L20" i="37"/>
  <c r="L18" i="39"/>
  <c r="L19" i="39"/>
  <c r="I19" i="39"/>
  <c r="D21" i="39"/>
  <c r="K13" i="39"/>
  <c r="K24" i="39"/>
  <c r="H14" i="39"/>
  <c r="M12" i="39"/>
  <c r="L13" i="39"/>
  <c r="M13" i="39"/>
  <c r="D20" i="39"/>
  <c r="C24" i="39"/>
  <c r="D24" i="39" s="1"/>
  <c r="D19" i="39"/>
  <c r="L12" i="39"/>
  <c r="I21" i="37"/>
  <c r="H24" i="37"/>
  <c r="I24" i="37" s="1"/>
  <c r="I17" i="37"/>
  <c r="D18" i="37"/>
  <c r="D19" i="37"/>
  <c r="K24" i="37"/>
  <c r="L13" i="37"/>
  <c r="K13" i="37"/>
  <c r="L12" i="37"/>
  <c r="M4" i="37"/>
  <c r="M13" i="37" s="1"/>
  <c r="D12" i="37"/>
  <c r="H14" i="37"/>
  <c r="L26" i="40" l="1"/>
  <c r="H26" i="40"/>
  <c r="C26" i="37"/>
  <c r="I24" i="39"/>
  <c r="L24" i="37"/>
  <c r="L26" i="37" s="1"/>
  <c r="L24" i="39"/>
  <c r="L26" i="39" s="1"/>
  <c r="C26" i="39"/>
  <c r="H26" i="37"/>
  <c r="M12" i="37"/>
  <c r="I20" i="36" l="1"/>
  <c r="L19" i="36"/>
  <c r="H24" i="36"/>
  <c r="L18" i="36"/>
  <c r="I18" i="36"/>
  <c r="C20" i="36"/>
  <c r="L20" i="36" s="1"/>
  <c r="C17" i="36"/>
  <c r="D17" i="36" s="1"/>
  <c r="D7" i="36"/>
  <c r="M7" i="36" s="1"/>
  <c r="D5" i="36"/>
  <c r="M5" i="36" s="1"/>
  <c r="D4" i="36"/>
  <c r="M4" i="36" s="1"/>
  <c r="I22" i="36"/>
  <c r="G24" i="36"/>
  <c r="B24" i="36"/>
  <c r="L22" i="36"/>
  <c r="L21" i="36"/>
  <c r="K21" i="36"/>
  <c r="I21" i="36"/>
  <c r="D21" i="36"/>
  <c r="K20" i="36"/>
  <c r="K19" i="36"/>
  <c r="K18" i="36"/>
  <c r="D18" i="36"/>
  <c r="K17" i="36"/>
  <c r="I17" i="36"/>
  <c r="I13" i="36"/>
  <c r="H13" i="36"/>
  <c r="G13" i="36"/>
  <c r="C13" i="36"/>
  <c r="B13" i="36"/>
  <c r="I12" i="36"/>
  <c r="H12" i="36"/>
  <c r="G12" i="36"/>
  <c r="C12" i="36"/>
  <c r="B12" i="36"/>
  <c r="M11" i="36"/>
  <c r="M10" i="36"/>
  <c r="L10" i="36"/>
  <c r="K10" i="36"/>
  <c r="M9" i="36"/>
  <c r="L9" i="36"/>
  <c r="K9" i="36"/>
  <c r="M8" i="36"/>
  <c r="L8" i="36"/>
  <c r="K8" i="36"/>
  <c r="L7" i="36"/>
  <c r="K7" i="36"/>
  <c r="M6" i="36"/>
  <c r="L6" i="36"/>
  <c r="K6" i="36"/>
  <c r="L5" i="36"/>
  <c r="K5" i="36"/>
  <c r="L4" i="36"/>
  <c r="K4" i="36"/>
  <c r="M3" i="36"/>
  <c r="L3" i="36"/>
  <c r="K3" i="36"/>
  <c r="I19" i="36" l="1"/>
  <c r="D12" i="36"/>
  <c r="K12" i="36"/>
  <c r="L17" i="36"/>
  <c r="L24" i="36" s="1"/>
  <c r="L13" i="36"/>
  <c r="D13" i="36"/>
  <c r="K24" i="36"/>
  <c r="I24" i="36"/>
  <c r="M12" i="36"/>
  <c r="K13" i="36"/>
  <c r="H26" i="36"/>
  <c r="H14" i="36"/>
  <c r="D20" i="36"/>
  <c r="M13" i="36"/>
  <c r="D19" i="36"/>
  <c r="L12" i="36"/>
  <c r="C24" i="36"/>
  <c r="D24" i="36" s="1"/>
  <c r="I18" i="35"/>
  <c r="C21" i="35"/>
  <c r="L21" i="35" s="1"/>
  <c r="C20" i="35"/>
  <c r="C19" i="35"/>
  <c r="L19" i="35" s="1"/>
  <c r="C18" i="35"/>
  <c r="D18" i="35" s="1"/>
  <c r="I17" i="35"/>
  <c r="G24" i="35"/>
  <c r="B24" i="35"/>
  <c r="L22" i="35"/>
  <c r="K21" i="35"/>
  <c r="I21" i="35"/>
  <c r="K20" i="35"/>
  <c r="I20" i="35"/>
  <c r="K19" i="35"/>
  <c r="I19" i="35"/>
  <c r="K18" i="35"/>
  <c r="K17" i="35"/>
  <c r="D17" i="35"/>
  <c r="I13" i="35"/>
  <c r="H13" i="35"/>
  <c r="G13" i="35"/>
  <c r="C13" i="35"/>
  <c r="B13" i="35"/>
  <c r="I12" i="35"/>
  <c r="H12" i="35"/>
  <c r="F32" i="33" s="1"/>
  <c r="G12" i="35"/>
  <c r="C12" i="35"/>
  <c r="B12" i="35"/>
  <c r="M11" i="35"/>
  <c r="M10" i="35"/>
  <c r="L10" i="35"/>
  <c r="K10" i="35"/>
  <c r="M9" i="35"/>
  <c r="L9" i="35"/>
  <c r="K9" i="35"/>
  <c r="L8" i="35"/>
  <c r="K8" i="35"/>
  <c r="D13" i="35"/>
  <c r="M7" i="35"/>
  <c r="L7" i="35"/>
  <c r="K7" i="35"/>
  <c r="M6" i="35"/>
  <c r="L6" i="35"/>
  <c r="K6" i="35"/>
  <c r="M5" i="35"/>
  <c r="L5" i="35"/>
  <c r="K5" i="35"/>
  <c r="M4" i="35"/>
  <c r="L4" i="35"/>
  <c r="K4" i="35"/>
  <c r="M3" i="35"/>
  <c r="L3" i="35"/>
  <c r="K3" i="35"/>
  <c r="H17" i="34"/>
  <c r="L18" i="35" l="1"/>
  <c r="C26" i="36"/>
  <c r="L26" i="36"/>
  <c r="L20" i="35"/>
  <c r="K12" i="35"/>
  <c r="K13" i="35"/>
  <c r="C24" i="35"/>
  <c r="D24" i="35" s="1"/>
  <c r="D20" i="35"/>
  <c r="D19" i="35"/>
  <c r="H24" i="35"/>
  <c r="K24" i="35"/>
  <c r="L13" i="35"/>
  <c r="D21" i="35"/>
  <c r="M8" i="35"/>
  <c r="M12" i="35" s="1"/>
  <c r="H14" i="35"/>
  <c r="L12" i="35"/>
  <c r="L17" i="35"/>
  <c r="D12" i="35"/>
  <c r="H24" i="34"/>
  <c r="H31" i="33" s="1"/>
  <c r="D17" i="34"/>
  <c r="C21" i="34"/>
  <c r="D21" i="34" s="1"/>
  <c r="C18" i="34"/>
  <c r="D18" i="34" s="1"/>
  <c r="D8" i="34"/>
  <c r="M8" i="34" s="1"/>
  <c r="G24" i="34"/>
  <c r="B24" i="34"/>
  <c r="L22" i="34"/>
  <c r="K21" i="34"/>
  <c r="I21" i="34"/>
  <c r="L20" i="34"/>
  <c r="K20" i="34"/>
  <c r="I20" i="34"/>
  <c r="D20" i="34"/>
  <c r="L19" i="34"/>
  <c r="K19" i="34"/>
  <c r="I19" i="34"/>
  <c r="D19" i="34"/>
  <c r="K18" i="34"/>
  <c r="I18" i="34"/>
  <c r="K17" i="34"/>
  <c r="I13" i="34"/>
  <c r="H13" i="34"/>
  <c r="G13" i="34"/>
  <c r="C13" i="34"/>
  <c r="B13" i="34"/>
  <c r="I12" i="34"/>
  <c r="H12" i="34"/>
  <c r="F31" i="33" s="1"/>
  <c r="G12" i="34"/>
  <c r="C12" i="34"/>
  <c r="B12" i="34"/>
  <c r="M11" i="34"/>
  <c r="M10" i="34"/>
  <c r="L10" i="34"/>
  <c r="K10" i="34"/>
  <c r="L9" i="34"/>
  <c r="K9" i="34"/>
  <c r="L8" i="34"/>
  <c r="K8" i="34"/>
  <c r="M7" i="34"/>
  <c r="L7" i="34"/>
  <c r="K7" i="34"/>
  <c r="M6" i="34"/>
  <c r="L6" i="34"/>
  <c r="K6" i="34"/>
  <c r="M5" i="34"/>
  <c r="L5" i="34"/>
  <c r="K5" i="34"/>
  <c r="M4" i="34"/>
  <c r="L4" i="34"/>
  <c r="K4" i="34"/>
  <c r="M3" i="34"/>
  <c r="L3" i="34"/>
  <c r="K3" i="34"/>
  <c r="H12" i="33"/>
  <c r="F30" i="33" s="1"/>
  <c r="H24" i="33"/>
  <c r="H30" i="33" s="1"/>
  <c r="L22" i="33"/>
  <c r="I31" i="33" l="1"/>
  <c r="I24" i="35"/>
  <c r="H32" i="33"/>
  <c r="I32" i="33" s="1"/>
  <c r="I30" i="33"/>
  <c r="F35" i="33"/>
  <c r="C26" i="35"/>
  <c r="L24" i="35"/>
  <c r="L26" i="35" s="1"/>
  <c r="H26" i="35"/>
  <c r="M13" i="35"/>
  <c r="I17" i="34"/>
  <c r="L17" i="34"/>
  <c r="D13" i="34"/>
  <c r="L21" i="34"/>
  <c r="C24" i="34"/>
  <c r="D24" i="34" s="1"/>
  <c r="H26" i="34"/>
  <c r="M9" i="34"/>
  <c r="M13" i="34" s="1"/>
  <c r="K12" i="34"/>
  <c r="D12" i="34"/>
  <c r="H14" i="34"/>
  <c r="I24" i="34"/>
  <c r="K13" i="34"/>
  <c r="L13" i="34"/>
  <c r="K24" i="34"/>
  <c r="L18" i="34"/>
  <c r="L12" i="34"/>
  <c r="H26" i="33"/>
  <c r="C18" i="33"/>
  <c r="C24" i="33" s="1"/>
  <c r="D9" i="33"/>
  <c r="D13" i="33" s="1"/>
  <c r="I12" i="33"/>
  <c r="K3" i="33"/>
  <c r="K4" i="33"/>
  <c r="K5" i="33"/>
  <c r="K6" i="33"/>
  <c r="K7" i="33"/>
  <c r="K8" i="33"/>
  <c r="K9" i="33"/>
  <c r="G24" i="33"/>
  <c r="B24" i="33"/>
  <c r="K21" i="33"/>
  <c r="I21" i="33"/>
  <c r="D21" i="33"/>
  <c r="L20" i="33"/>
  <c r="K20" i="33"/>
  <c r="I20" i="33"/>
  <c r="D20" i="33"/>
  <c r="L19" i="33"/>
  <c r="K19" i="33"/>
  <c r="I19" i="33"/>
  <c r="D19" i="33"/>
  <c r="K18" i="33"/>
  <c r="I18" i="33"/>
  <c r="L17" i="33"/>
  <c r="K17" i="33"/>
  <c r="I17" i="33"/>
  <c r="D17" i="33"/>
  <c r="H13" i="33"/>
  <c r="G13" i="33"/>
  <c r="C13" i="33"/>
  <c r="B13" i="33"/>
  <c r="G12" i="33"/>
  <c r="C12" i="33"/>
  <c r="B12" i="33"/>
  <c r="M11" i="33"/>
  <c r="M10" i="33"/>
  <c r="L10" i="33"/>
  <c r="K10" i="33"/>
  <c r="L9" i="33"/>
  <c r="M8" i="33"/>
  <c r="L8" i="33"/>
  <c r="M7" i="33"/>
  <c r="L7" i="33"/>
  <c r="M6" i="33"/>
  <c r="L6" i="33"/>
  <c r="M5" i="33"/>
  <c r="L5" i="33"/>
  <c r="M4" i="33"/>
  <c r="L4" i="33"/>
  <c r="M3" i="33"/>
  <c r="L3" i="33"/>
  <c r="H35" i="33" l="1"/>
  <c r="I35" i="33" s="1"/>
  <c r="C26" i="34"/>
  <c r="L24" i="34"/>
  <c r="L26" i="34" s="1"/>
  <c r="M12" i="34"/>
  <c r="D12" i="33"/>
  <c r="D24" i="33"/>
  <c r="K24" i="33"/>
  <c r="K12" i="33"/>
  <c r="K13" i="33"/>
  <c r="I13" i="33"/>
  <c r="M9" i="33"/>
  <c r="M13" i="33" s="1"/>
  <c r="I24" i="33"/>
  <c r="L12" i="33"/>
  <c r="C26" i="33"/>
  <c r="L13" i="33"/>
  <c r="D18" i="33"/>
  <c r="H14" i="33"/>
  <c r="L21" i="33"/>
  <c r="L18" i="33"/>
  <c r="L24" i="33" l="1"/>
  <c r="L26" i="33" s="1"/>
  <c r="M12" i="33"/>
  <c r="M11" i="32" l="1"/>
  <c r="I10" i="32"/>
  <c r="M10" i="32" s="1"/>
  <c r="I21" i="32"/>
  <c r="H12" i="32"/>
  <c r="H20" i="32"/>
  <c r="I20" i="32" s="1"/>
  <c r="K10" i="32"/>
  <c r="H13" i="32"/>
  <c r="L10" i="32"/>
  <c r="I18" i="32"/>
  <c r="I19" i="32"/>
  <c r="D17" i="32"/>
  <c r="G13" i="32"/>
  <c r="G12" i="32"/>
  <c r="H17" i="32"/>
  <c r="I17" i="32" s="1"/>
  <c r="I12" i="32" l="1"/>
  <c r="I13" i="32"/>
  <c r="H24" i="32"/>
  <c r="C21" i="32"/>
  <c r="C18" i="32"/>
  <c r="D18" i="32" s="1"/>
  <c r="G60" i="32"/>
  <c r="B60" i="32"/>
  <c r="L58" i="32"/>
  <c r="K57" i="32"/>
  <c r="C57" i="32"/>
  <c r="L57" i="32" s="1"/>
  <c r="K56" i="32"/>
  <c r="K55" i="32"/>
  <c r="K54" i="32"/>
  <c r="H54" i="32"/>
  <c r="C54" i="32"/>
  <c r="K53" i="32"/>
  <c r="H53" i="32"/>
  <c r="M46" i="32"/>
  <c r="L46" i="32"/>
  <c r="K46" i="32"/>
  <c r="F46" i="32"/>
  <c r="G45" i="32"/>
  <c r="F45" i="32"/>
  <c r="G44" i="32"/>
  <c r="F44" i="32"/>
  <c r="G43" i="32"/>
  <c r="F43" i="32"/>
  <c r="I42" i="32"/>
  <c r="G42" i="32"/>
  <c r="F42" i="32"/>
  <c r="I41" i="32"/>
  <c r="H41" i="32"/>
  <c r="G41" i="32"/>
  <c r="F41" i="32"/>
  <c r="I40" i="32"/>
  <c r="H40" i="32"/>
  <c r="G40" i="32"/>
  <c r="F40" i="32"/>
  <c r="I39" i="32"/>
  <c r="H39" i="32"/>
  <c r="G39" i="32"/>
  <c r="F39" i="32"/>
  <c r="G24" i="32"/>
  <c r="B24" i="32"/>
  <c r="K21" i="32"/>
  <c r="L20" i="32"/>
  <c r="K20" i="32"/>
  <c r="D20" i="32"/>
  <c r="K19" i="32"/>
  <c r="D19" i="32"/>
  <c r="K18" i="32"/>
  <c r="L17" i="32"/>
  <c r="K17" i="32"/>
  <c r="D13" i="32"/>
  <c r="C13" i="32"/>
  <c r="B13" i="32"/>
  <c r="D12" i="32"/>
  <c r="C12" i="32"/>
  <c r="B12" i="32"/>
  <c r="M9" i="32"/>
  <c r="L9" i="32"/>
  <c r="K9" i="32"/>
  <c r="M8" i="32"/>
  <c r="L8" i="32"/>
  <c r="K8" i="32"/>
  <c r="M7" i="32"/>
  <c r="L7" i="32"/>
  <c r="K7" i="32"/>
  <c r="M6" i="32"/>
  <c r="L6" i="32"/>
  <c r="K6" i="32"/>
  <c r="M5" i="32"/>
  <c r="L5" i="32"/>
  <c r="K5" i="32"/>
  <c r="M4" i="32"/>
  <c r="L4" i="32"/>
  <c r="K4" i="32"/>
  <c r="M3" i="32"/>
  <c r="L3" i="32"/>
  <c r="K3" i="32"/>
  <c r="L18" i="32" l="1"/>
  <c r="C24" i="32"/>
  <c r="D24" i="32" s="1"/>
  <c r="K13" i="32"/>
  <c r="M13" i="32"/>
  <c r="M12" i="32"/>
  <c r="H47" i="32"/>
  <c r="L12" i="32"/>
  <c r="L13" i="32"/>
  <c r="L54" i="32"/>
  <c r="I47" i="32"/>
  <c r="K60" i="32"/>
  <c r="H26" i="32"/>
  <c r="L21" i="32"/>
  <c r="K12" i="32"/>
  <c r="K24" i="32"/>
  <c r="I24" i="32"/>
  <c r="G47" i="32"/>
  <c r="G49" i="32"/>
  <c r="H49" i="32"/>
  <c r="I49" i="32"/>
  <c r="D21" i="32"/>
  <c r="H60" i="32"/>
  <c r="L19" i="32"/>
  <c r="H14" i="32"/>
  <c r="C26" i="32" l="1"/>
  <c r="H62" i="32"/>
  <c r="L24" i="32"/>
  <c r="L26" i="32" s="1"/>
  <c r="C20" i="31" l="1"/>
  <c r="L20" i="31" s="1"/>
  <c r="C19" i="31"/>
  <c r="L19" i="31" s="1"/>
  <c r="C18" i="31"/>
  <c r="D18" i="31" s="1"/>
  <c r="G59" i="31"/>
  <c r="B59" i="31"/>
  <c r="L57" i="31"/>
  <c r="K56" i="31"/>
  <c r="C56" i="31"/>
  <c r="L56" i="31" s="1"/>
  <c r="K55" i="31"/>
  <c r="K54" i="31"/>
  <c r="K53" i="31"/>
  <c r="C53" i="31"/>
  <c r="K52" i="31"/>
  <c r="H52" i="31"/>
  <c r="M45" i="31"/>
  <c r="L45" i="31"/>
  <c r="K45" i="31"/>
  <c r="F45" i="31"/>
  <c r="G44" i="31"/>
  <c r="F44" i="31"/>
  <c r="G43" i="31"/>
  <c r="F43" i="31"/>
  <c r="G42" i="31"/>
  <c r="F42" i="31"/>
  <c r="I41" i="31"/>
  <c r="G41" i="31"/>
  <c r="F41" i="31"/>
  <c r="I40" i="31"/>
  <c r="H40" i="31"/>
  <c r="G40" i="31"/>
  <c r="F40" i="31"/>
  <c r="I39" i="31"/>
  <c r="H39" i="31"/>
  <c r="G39" i="31"/>
  <c r="F39" i="31"/>
  <c r="I38" i="31"/>
  <c r="H38" i="31"/>
  <c r="G38" i="31"/>
  <c r="F38" i="31"/>
  <c r="G23" i="31"/>
  <c r="B23" i="31"/>
  <c r="K20" i="31"/>
  <c r="I20" i="31"/>
  <c r="K19" i="31"/>
  <c r="I19" i="31"/>
  <c r="K18" i="31"/>
  <c r="L17" i="31"/>
  <c r="K17" i="31"/>
  <c r="I17" i="31"/>
  <c r="H53" i="31"/>
  <c r="D17" i="31"/>
  <c r="L16" i="31"/>
  <c r="K16" i="31"/>
  <c r="I16" i="31"/>
  <c r="D16" i="31"/>
  <c r="I12" i="31"/>
  <c r="H12" i="31"/>
  <c r="G12" i="31"/>
  <c r="C12" i="31"/>
  <c r="B12" i="31"/>
  <c r="I11" i="31"/>
  <c r="H11" i="31"/>
  <c r="G11" i="31"/>
  <c r="C11" i="31"/>
  <c r="B11" i="31"/>
  <c r="M9" i="31"/>
  <c r="L9" i="31"/>
  <c r="K9" i="31"/>
  <c r="M8" i="31"/>
  <c r="L8" i="31"/>
  <c r="K8" i="31"/>
  <c r="M7" i="31"/>
  <c r="L7" i="31"/>
  <c r="K7" i="31"/>
  <c r="M6" i="31"/>
  <c r="L6" i="31"/>
  <c r="K6" i="31"/>
  <c r="M5" i="31"/>
  <c r="L5" i="31"/>
  <c r="K5" i="31"/>
  <c r="M4" i="31"/>
  <c r="L4" i="31"/>
  <c r="K4" i="31"/>
  <c r="L3" i="31"/>
  <c r="K3" i="31"/>
  <c r="D12" i="31"/>
  <c r="H21" i="30"/>
  <c r="K10" i="30"/>
  <c r="M10" i="30"/>
  <c r="L53" i="31" l="1"/>
  <c r="D19" i="31"/>
  <c r="C14" i="31"/>
  <c r="K59" i="31"/>
  <c r="G48" i="31"/>
  <c r="H14" i="31"/>
  <c r="I48" i="31"/>
  <c r="K23" i="31"/>
  <c r="D20" i="31"/>
  <c r="L18" i="31"/>
  <c r="L23" i="31" s="1"/>
  <c r="H13" i="31"/>
  <c r="K11" i="31"/>
  <c r="L12" i="31"/>
  <c r="K12" i="31"/>
  <c r="H59" i="31"/>
  <c r="L11" i="31"/>
  <c r="I18" i="31"/>
  <c r="C23" i="31"/>
  <c r="H46" i="31"/>
  <c r="I46" i="31"/>
  <c r="H48" i="31"/>
  <c r="G46" i="31"/>
  <c r="M3" i="31"/>
  <c r="D11" i="31"/>
  <c r="H23" i="31"/>
  <c r="I23" i="31" s="1"/>
  <c r="H18" i="30"/>
  <c r="I21" i="30"/>
  <c r="L21" i="30"/>
  <c r="H17" i="30"/>
  <c r="I17" i="30" s="1"/>
  <c r="L10" i="30"/>
  <c r="I16" i="30"/>
  <c r="D21" i="30"/>
  <c r="C18" i="30"/>
  <c r="C16" i="30"/>
  <c r="D3" i="30"/>
  <c r="D12" i="30" s="1"/>
  <c r="G59" i="30"/>
  <c r="B59" i="30"/>
  <c r="L57" i="30"/>
  <c r="K56" i="30"/>
  <c r="C56" i="30"/>
  <c r="L56" i="30" s="1"/>
  <c r="K55" i="30"/>
  <c r="K54" i="30"/>
  <c r="K53" i="30"/>
  <c r="C53" i="30"/>
  <c r="K52" i="30"/>
  <c r="M45" i="30"/>
  <c r="L45" i="30"/>
  <c r="K45" i="30"/>
  <c r="F45" i="30"/>
  <c r="G44" i="30"/>
  <c r="F44" i="30"/>
  <c r="G43" i="30"/>
  <c r="F43" i="30"/>
  <c r="G42" i="30"/>
  <c r="F42" i="30"/>
  <c r="I41" i="30"/>
  <c r="G41" i="30"/>
  <c r="F41" i="30"/>
  <c r="I40" i="30"/>
  <c r="H40" i="30"/>
  <c r="G40" i="30"/>
  <c r="F40" i="30"/>
  <c r="I39" i="30"/>
  <c r="H39" i="30"/>
  <c r="G39" i="30"/>
  <c r="F39" i="30"/>
  <c r="I38" i="30"/>
  <c r="H38" i="30"/>
  <c r="G38" i="30"/>
  <c r="F38" i="30"/>
  <c r="G23" i="30"/>
  <c r="B23" i="30"/>
  <c r="L20" i="30"/>
  <c r="K20" i="30"/>
  <c r="I20" i="30"/>
  <c r="D20" i="30"/>
  <c r="L19" i="30"/>
  <c r="K19" i="30"/>
  <c r="I19" i="30"/>
  <c r="D19" i="30"/>
  <c r="K18" i="30"/>
  <c r="K17" i="30"/>
  <c r="D17" i="30"/>
  <c r="K16" i="30"/>
  <c r="I12" i="30"/>
  <c r="H12" i="30"/>
  <c r="G12" i="30"/>
  <c r="C12" i="30"/>
  <c r="B12" i="30"/>
  <c r="I11" i="30"/>
  <c r="H11" i="30"/>
  <c r="G11" i="30"/>
  <c r="C11" i="30"/>
  <c r="B11" i="30"/>
  <c r="M9" i="30"/>
  <c r="L9" i="30"/>
  <c r="K9" i="30"/>
  <c r="M8" i="30"/>
  <c r="L8" i="30"/>
  <c r="K8" i="30"/>
  <c r="M7" i="30"/>
  <c r="L7" i="30"/>
  <c r="K7" i="30"/>
  <c r="M6" i="30"/>
  <c r="L6" i="30"/>
  <c r="K6" i="30"/>
  <c r="M5" i="30"/>
  <c r="L5" i="30"/>
  <c r="K5" i="30"/>
  <c r="M4" i="30"/>
  <c r="L4" i="30"/>
  <c r="K4" i="30"/>
  <c r="L3" i="30"/>
  <c r="K3" i="30"/>
  <c r="L17" i="30" l="1"/>
  <c r="C14" i="30"/>
  <c r="G46" i="30"/>
  <c r="H14" i="30"/>
  <c r="H25" i="31"/>
  <c r="M12" i="31"/>
  <c r="M11" i="31"/>
  <c r="D23" i="31"/>
  <c r="C25" i="31"/>
  <c r="H61" i="31"/>
  <c r="L25" i="31"/>
  <c r="I46" i="30"/>
  <c r="L18" i="30"/>
  <c r="H53" i="30"/>
  <c r="L53" i="30" s="1"/>
  <c r="H52" i="30"/>
  <c r="L16" i="30"/>
  <c r="K11" i="30"/>
  <c r="K59" i="30"/>
  <c r="C23" i="30"/>
  <c r="D23" i="30" s="1"/>
  <c r="D16" i="30"/>
  <c r="M3" i="30"/>
  <c r="M11" i="30" s="1"/>
  <c r="D11" i="30"/>
  <c r="H13" i="30"/>
  <c r="K12" i="30"/>
  <c r="K23" i="30"/>
  <c r="L12" i="30"/>
  <c r="I48" i="30"/>
  <c r="H46" i="30"/>
  <c r="G48" i="30"/>
  <c r="D18" i="30"/>
  <c r="H48" i="30"/>
  <c r="L11" i="30"/>
  <c r="I18" i="30"/>
  <c r="H23" i="30"/>
  <c r="I23" i="30" s="1"/>
  <c r="H18" i="28"/>
  <c r="L23" i="30" l="1"/>
  <c r="L25" i="30" s="1"/>
  <c r="M12" i="30"/>
  <c r="H59" i="30"/>
  <c r="H61" i="30" s="1"/>
  <c r="C25" i="30"/>
  <c r="H25" i="30"/>
  <c r="H52" i="28"/>
  <c r="D20" i="28"/>
  <c r="C18" i="28"/>
  <c r="D18" i="28" s="1"/>
  <c r="C16" i="28"/>
  <c r="D7" i="28"/>
  <c r="D11" i="28" s="1"/>
  <c r="G59" i="28"/>
  <c r="B59" i="28"/>
  <c r="L57" i="28"/>
  <c r="K56" i="28"/>
  <c r="C56" i="28"/>
  <c r="L56" i="28" s="1"/>
  <c r="K55" i="28"/>
  <c r="K54" i="28"/>
  <c r="K53" i="28"/>
  <c r="H53" i="28"/>
  <c r="C53" i="28"/>
  <c r="K52" i="28"/>
  <c r="M45" i="28"/>
  <c r="L45" i="28"/>
  <c r="K45" i="28"/>
  <c r="F45" i="28"/>
  <c r="G44" i="28"/>
  <c r="F44" i="28"/>
  <c r="G43" i="28"/>
  <c r="F43" i="28"/>
  <c r="G42" i="28"/>
  <c r="F42" i="28"/>
  <c r="I41" i="28"/>
  <c r="G41" i="28"/>
  <c r="F41" i="28"/>
  <c r="I40" i="28"/>
  <c r="H40" i="28"/>
  <c r="G40" i="28"/>
  <c r="F40" i="28"/>
  <c r="I39" i="28"/>
  <c r="H39" i="28"/>
  <c r="G39" i="28"/>
  <c r="F39" i="28"/>
  <c r="I38" i="28"/>
  <c r="H38" i="28"/>
  <c r="G38" i="28"/>
  <c r="F38" i="28"/>
  <c r="G23" i="28"/>
  <c r="B23" i="28"/>
  <c r="L20" i="28"/>
  <c r="K20" i="28"/>
  <c r="I20" i="28"/>
  <c r="L19" i="28"/>
  <c r="K19" i="28"/>
  <c r="I19" i="28"/>
  <c r="D19" i="28"/>
  <c r="K18" i="28"/>
  <c r="H23" i="28"/>
  <c r="K17" i="28"/>
  <c r="I17" i="28"/>
  <c r="L17" i="28"/>
  <c r="D17" i="28"/>
  <c r="K16" i="28"/>
  <c r="I16" i="28"/>
  <c r="I12" i="28"/>
  <c r="H12" i="28"/>
  <c r="G12" i="28"/>
  <c r="C12" i="28"/>
  <c r="B12" i="28"/>
  <c r="I11" i="28"/>
  <c r="H11" i="28"/>
  <c r="G11" i="28"/>
  <c r="C11" i="28"/>
  <c r="B11" i="28"/>
  <c r="M9" i="28"/>
  <c r="L9" i="28"/>
  <c r="K9" i="28"/>
  <c r="M8" i="28"/>
  <c r="L8" i="28"/>
  <c r="K8" i="28"/>
  <c r="L7" i="28"/>
  <c r="K7" i="28"/>
  <c r="M6" i="28"/>
  <c r="L6" i="28"/>
  <c r="K6" i="28"/>
  <c r="M5" i="28"/>
  <c r="L5" i="28"/>
  <c r="K5" i="28"/>
  <c r="M4" i="28"/>
  <c r="L4" i="28"/>
  <c r="K4" i="28"/>
  <c r="M3" i="28"/>
  <c r="L3" i="28"/>
  <c r="K3" i="28"/>
  <c r="M45" i="27"/>
  <c r="K45" i="27"/>
  <c r="L45" i="27"/>
  <c r="K11" i="28" l="1"/>
  <c r="C23" i="28"/>
  <c r="D23" i="28" s="1"/>
  <c r="G48" i="28"/>
  <c r="L53" i="28"/>
  <c r="M7" i="28"/>
  <c r="M11" i="28" s="1"/>
  <c r="K59" i="28"/>
  <c r="I48" i="28"/>
  <c r="H46" i="28"/>
  <c r="I23" i="28"/>
  <c r="H13" i="28"/>
  <c r="L16" i="28"/>
  <c r="L18" i="28"/>
  <c r="K23" i="28"/>
  <c r="D12" i="28"/>
  <c r="L11" i="28"/>
  <c r="K12" i="28"/>
  <c r="H48" i="28"/>
  <c r="L12" i="28"/>
  <c r="H25" i="28"/>
  <c r="I46" i="28"/>
  <c r="H59" i="28"/>
  <c r="I18" i="28"/>
  <c r="G46" i="28"/>
  <c r="D16" i="28"/>
  <c r="M12" i="28" l="1"/>
  <c r="C25" i="28"/>
  <c r="H61" i="28"/>
  <c r="L23" i="28"/>
  <c r="L25" i="28" s="1"/>
  <c r="C53" i="27" l="1"/>
  <c r="C56" i="27"/>
  <c r="F45" i="27"/>
  <c r="H18" i="27"/>
  <c r="H17" i="27"/>
  <c r="I17" i="27" s="1"/>
  <c r="C19" i="27"/>
  <c r="L19" i="27" s="1"/>
  <c r="C18" i="27"/>
  <c r="C16" i="27"/>
  <c r="D16" i="27" s="1"/>
  <c r="I16" i="27"/>
  <c r="G59" i="27"/>
  <c r="B59" i="27"/>
  <c r="L57" i="27"/>
  <c r="K56" i="27"/>
  <c r="K55" i="27"/>
  <c r="K54" i="27"/>
  <c r="K53" i="27"/>
  <c r="K52" i="27"/>
  <c r="G44" i="27"/>
  <c r="F44" i="27"/>
  <c r="G43" i="27"/>
  <c r="F43" i="27"/>
  <c r="G42" i="27"/>
  <c r="F42" i="27"/>
  <c r="I41" i="27"/>
  <c r="G41" i="27"/>
  <c r="F41" i="27"/>
  <c r="I40" i="27"/>
  <c r="H40" i="27"/>
  <c r="G40" i="27"/>
  <c r="F40" i="27"/>
  <c r="I39" i="27"/>
  <c r="H39" i="27"/>
  <c r="G39" i="27"/>
  <c r="F39" i="27"/>
  <c r="I38" i="27"/>
  <c r="H38" i="27"/>
  <c r="G38" i="27"/>
  <c r="F38" i="27"/>
  <c r="G23" i="27"/>
  <c r="L20" i="27"/>
  <c r="K20" i="27"/>
  <c r="K19" i="27"/>
  <c r="I19" i="27"/>
  <c r="K18" i="27"/>
  <c r="K17" i="27"/>
  <c r="D17" i="27"/>
  <c r="B23" i="27"/>
  <c r="I12" i="27"/>
  <c r="H12" i="27"/>
  <c r="G12" i="27"/>
  <c r="I11" i="27"/>
  <c r="H11" i="27"/>
  <c r="G11" i="27"/>
  <c r="L9" i="27"/>
  <c r="K9" i="27"/>
  <c r="M9" i="27"/>
  <c r="K8" i="27"/>
  <c r="M8" i="27"/>
  <c r="L8" i="27"/>
  <c r="M7" i="27"/>
  <c r="L7" i="27"/>
  <c r="K7" i="27"/>
  <c r="M6" i="27"/>
  <c r="C12" i="27"/>
  <c r="K6" i="27"/>
  <c r="M5" i="27"/>
  <c r="L5" i="27"/>
  <c r="K5" i="27"/>
  <c r="M4" i="27"/>
  <c r="L4" i="27"/>
  <c r="K4" i="27"/>
  <c r="M3" i="27"/>
  <c r="L3" i="27"/>
  <c r="K3" i="27"/>
  <c r="D12" i="27"/>
  <c r="C11" i="27"/>
  <c r="B12" i="27"/>
  <c r="L21" i="26"/>
  <c r="H23" i="26"/>
  <c r="I21" i="26"/>
  <c r="I20" i="26"/>
  <c r="I18" i="26"/>
  <c r="A17" i="26"/>
  <c r="A18" i="26"/>
  <c r="A19" i="26"/>
  <c r="A20" i="26"/>
  <c r="B17" i="26"/>
  <c r="K17" i="26" s="1"/>
  <c r="B18" i="26"/>
  <c r="K18" i="26" s="1"/>
  <c r="B19" i="26"/>
  <c r="K19" i="26" s="1"/>
  <c r="B20" i="26"/>
  <c r="K20" i="26" s="1"/>
  <c r="C16" i="26"/>
  <c r="B16" i="26"/>
  <c r="A16" i="26"/>
  <c r="D4" i="26"/>
  <c r="M4" i="26" s="1"/>
  <c r="D5" i="26"/>
  <c r="M5" i="26" s="1"/>
  <c r="D6" i="26"/>
  <c r="M6" i="26" s="1"/>
  <c r="D8" i="26"/>
  <c r="M8" i="26" s="1"/>
  <c r="D9" i="26"/>
  <c r="M9" i="26" s="1"/>
  <c r="D3" i="26"/>
  <c r="M3" i="26" s="1"/>
  <c r="C4" i="26"/>
  <c r="L4" i="26" s="1"/>
  <c r="C5" i="26"/>
  <c r="L5" i="26" s="1"/>
  <c r="C6" i="26"/>
  <c r="L6" i="26" s="1"/>
  <c r="C8" i="26"/>
  <c r="L8" i="26" s="1"/>
  <c r="C9" i="26"/>
  <c r="L9" i="26" s="1"/>
  <c r="C3" i="26"/>
  <c r="L3" i="26" s="1"/>
  <c r="B4" i="26"/>
  <c r="K4" i="26" s="1"/>
  <c r="B5" i="26"/>
  <c r="K5" i="26" s="1"/>
  <c r="B6" i="26"/>
  <c r="K6" i="26" s="1"/>
  <c r="B7" i="26"/>
  <c r="K7" i="26" s="1"/>
  <c r="B8" i="26"/>
  <c r="K8" i="26" s="1"/>
  <c r="B9" i="26"/>
  <c r="K9" i="26" s="1"/>
  <c r="B3" i="26"/>
  <c r="K3" i="26" s="1"/>
  <c r="A4" i="26"/>
  <c r="A5" i="26"/>
  <c r="A6" i="26"/>
  <c r="A7" i="26"/>
  <c r="A8" i="26"/>
  <c r="A9" i="26"/>
  <c r="A3" i="26"/>
  <c r="K21" i="26"/>
  <c r="G59" i="26"/>
  <c r="C59" i="26"/>
  <c r="B59" i="26"/>
  <c r="L57" i="26"/>
  <c r="K56" i="26"/>
  <c r="K55" i="26"/>
  <c r="H55" i="26"/>
  <c r="L55" i="26" s="1"/>
  <c r="K54" i="26"/>
  <c r="K53" i="26"/>
  <c r="H53" i="26"/>
  <c r="L53" i="26" s="1"/>
  <c r="K52" i="26"/>
  <c r="H52" i="26"/>
  <c r="D48" i="26"/>
  <c r="C48" i="26"/>
  <c r="B48" i="26"/>
  <c r="D46" i="26"/>
  <c r="C46" i="26"/>
  <c r="B46" i="26"/>
  <c r="I44" i="26"/>
  <c r="M44" i="26" s="1"/>
  <c r="H44" i="26"/>
  <c r="L44" i="26" s="1"/>
  <c r="G44" i="26"/>
  <c r="K44" i="26" s="1"/>
  <c r="F44" i="26"/>
  <c r="I43" i="26"/>
  <c r="M43" i="26" s="1"/>
  <c r="H43" i="26"/>
  <c r="L43" i="26" s="1"/>
  <c r="G43" i="26"/>
  <c r="K43" i="26" s="1"/>
  <c r="F43" i="26"/>
  <c r="I42" i="26"/>
  <c r="M42" i="26" s="1"/>
  <c r="H42" i="26"/>
  <c r="L42" i="26" s="1"/>
  <c r="G42" i="26"/>
  <c r="K42" i="26" s="1"/>
  <c r="F42" i="26"/>
  <c r="L41" i="26"/>
  <c r="I41" i="26"/>
  <c r="M41" i="26" s="1"/>
  <c r="G41" i="26"/>
  <c r="K41" i="26" s="1"/>
  <c r="F41" i="26"/>
  <c r="I40" i="26"/>
  <c r="M40" i="26" s="1"/>
  <c r="H40" i="26"/>
  <c r="L40" i="26" s="1"/>
  <c r="G40" i="26"/>
  <c r="K40" i="26" s="1"/>
  <c r="F40" i="26"/>
  <c r="I39" i="26"/>
  <c r="M39" i="26" s="1"/>
  <c r="H39" i="26"/>
  <c r="L39" i="26" s="1"/>
  <c r="G39" i="26"/>
  <c r="K39" i="26" s="1"/>
  <c r="F39" i="26"/>
  <c r="I38" i="26"/>
  <c r="H38" i="26"/>
  <c r="L38" i="26" s="1"/>
  <c r="G38" i="26"/>
  <c r="F38" i="26"/>
  <c r="G23" i="26"/>
  <c r="I19" i="26"/>
  <c r="I17" i="26"/>
  <c r="I16" i="26"/>
  <c r="I12" i="26"/>
  <c r="H12" i="26"/>
  <c r="G12" i="26"/>
  <c r="I11" i="26"/>
  <c r="H11" i="26"/>
  <c r="G11" i="26"/>
  <c r="H20" i="25"/>
  <c r="C14" i="24"/>
  <c r="L56" i="27" l="1"/>
  <c r="L18" i="27"/>
  <c r="D19" i="27"/>
  <c r="I18" i="27"/>
  <c r="D18" i="27"/>
  <c r="D16" i="26"/>
  <c r="H25" i="26"/>
  <c r="C61" i="26"/>
  <c r="K59" i="27"/>
  <c r="L53" i="27"/>
  <c r="G48" i="27"/>
  <c r="K59" i="26"/>
  <c r="I20" i="27"/>
  <c r="H23" i="27"/>
  <c r="I23" i="27" s="1"/>
  <c r="I48" i="27"/>
  <c r="H48" i="27"/>
  <c r="I46" i="27"/>
  <c r="H13" i="27"/>
  <c r="K12" i="27"/>
  <c r="M12" i="27"/>
  <c r="G46" i="27"/>
  <c r="B11" i="27"/>
  <c r="K11" i="27" s="1"/>
  <c r="M11" i="27"/>
  <c r="K16" i="27"/>
  <c r="K23" i="27" s="1"/>
  <c r="L17" i="27"/>
  <c r="H46" i="27"/>
  <c r="L6" i="27"/>
  <c r="L11" i="27" s="1"/>
  <c r="L16" i="27"/>
  <c r="D11" i="27"/>
  <c r="C23" i="27"/>
  <c r="D23" i="27" s="1"/>
  <c r="H54" i="26"/>
  <c r="L54" i="26" s="1"/>
  <c r="I46" i="26"/>
  <c r="B23" i="26"/>
  <c r="L16" i="26"/>
  <c r="K16" i="26"/>
  <c r="K23" i="26" s="1"/>
  <c r="B11" i="26"/>
  <c r="K11" i="26" s="1"/>
  <c r="B12" i="26"/>
  <c r="K12" i="26"/>
  <c r="G48" i="26"/>
  <c r="H13" i="26"/>
  <c r="L48" i="26"/>
  <c r="L46" i="26"/>
  <c r="G46" i="26"/>
  <c r="K46" i="26" s="1"/>
  <c r="K38" i="26"/>
  <c r="K48" i="26" s="1"/>
  <c r="H46" i="26"/>
  <c r="L52" i="26"/>
  <c r="H48" i="26"/>
  <c r="M38" i="26"/>
  <c r="I48" i="26"/>
  <c r="H56" i="26"/>
  <c r="L56" i="26" s="1"/>
  <c r="H14" i="24"/>
  <c r="H59" i="27" l="1"/>
  <c r="H61" i="27" s="1"/>
  <c r="C25" i="27"/>
  <c r="H25" i="27"/>
  <c r="L12" i="27"/>
  <c r="L23" i="27"/>
  <c r="L25" i="27" s="1"/>
  <c r="I23" i="26"/>
  <c r="H59" i="26"/>
  <c r="H61" i="26" s="1"/>
  <c r="M48" i="26"/>
  <c r="M46" i="26"/>
  <c r="L59" i="26"/>
  <c r="L61" i="26" s="1"/>
  <c r="H19" i="25" l="1"/>
  <c r="D17" i="25"/>
  <c r="D18" i="25"/>
  <c r="D19" i="25"/>
  <c r="D20" i="25"/>
  <c r="D16" i="25"/>
  <c r="H23" i="25" l="1"/>
  <c r="D9" i="25"/>
  <c r="M9" i="25" s="1"/>
  <c r="D8" i="25"/>
  <c r="M8" i="25" s="1"/>
  <c r="D4" i="25"/>
  <c r="M4" i="25" s="1"/>
  <c r="G59" i="25"/>
  <c r="C59" i="25"/>
  <c r="B59" i="25"/>
  <c r="L57" i="25"/>
  <c r="K56" i="25"/>
  <c r="K55" i="25"/>
  <c r="K54" i="25"/>
  <c r="K53" i="25"/>
  <c r="K52" i="25"/>
  <c r="H52" i="25"/>
  <c r="L52" i="25" s="1"/>
  <c r="D48" i="25"/>
  <c r="C48" i="25"/>
  <c r="B48" i="25"/>
  <c r="D46" i="25"/>
  <c r="C46" i="25"/>
  <c r="B46" i="25"/>
  <c r="I44" i="25"/>
  <c r="M44" i="25" s="1"/>
  <c r="H44" i="25"/>
  <c r="L44" i="25" s="1"/>
  <c r="G44" i="25"/>
  <c r="K44" i="25" s="1"/>
  <c r="F44" i="25"/>
  <c r="I43" i="25"/>
  <c r="M43" i="25" s="1"/>
  <c r="H43" i="25"/>
  <c r="L43" i="25" s="1"/>
  <c r="G43" i="25"/>
  <c r="K43" i="25" s="1"/>
  <c r="F43" i="25"/>
  <c r="I42" i="25"/>
  <c r="M42" i="25" s="1"/>
  <c r="H42" i="25"/>
  <c r="L42" i="25" s="1"/>
  <c r="G42" i="25"/>
  <c r="K42" i="25" s="1"/>
  <c r="F42" i="25"/>
  <c r="L41" i="25"/>
  <c r="I41" i="25"/>
  <c r="M41" i="25" s="1"/>
  <c r="G41" i="25"/>
  <c r="K41" i="25" s="1"/>
  <c r="F41" i="25"/>
  <c r="I40" i="25"/>
  <c r="M40" i="25" s="1"/>
  <c r="H40" i="25"/>
  <c r="L40" i="25" s="1"/>
  <c r="G40" i="25"/>
  <c r="K40" i="25" s="1"/>
  <c r="F40" i="25"/>
  <c r="I39" i="25"/>
  <c r="M39" i="25" s="1"/>
  <c r="H39" i="25"/>
  <c r="L39" i="25" s="1"/>
  <c r="G39" i="25"/>
  <c r="K39" i="25" s="1"/>
  <c r="F39" i="25"/>
  <c r="I38" i="25"/>
  <c r="M38" i="25" s="1"/>
  <c r="H38" i="25"/>
  <c r="G38" i="25"/>
  <c r="F38" i="25"/>
  <c r="G23" i="25"/>
  <c r="B23" i="25"/>
  <c r="C23" i="25"/>
  <c r="K20" i="25"/>
  <c r="H56" i="25"/>
  <c r="L56" i="25" s="1"/>
  <c r="K19" i="25"/>
  <c r="L19" i="25"/>
  <c r="K18" i="25"/>
  <c r="H54" i="25"/>
  <c r="L54" i="25" s="1"/>
  <c r="K17" i="25"/>
  <c r="L16" i="25"/>
  <c r="K16" i="25"/>
  <c r="I16" i="25"/>
  <c r="I12" i="25"/>
  <c r="H12" i="25"/>
  <c r="G12" i="25"/>
  <c r="C12" i="25"/>
  <c r="B12" i="25"/>
  <c r="I11" i="25"/>
  <c r="H11" i="25"/>
  <c r="G11" i="25"/>
  <c r="C11" i="25"/>
  <c r="B11" i="25"/>
  <c r="L9" i="25"/>
  <c r="K9" i="25"/>
  <c r="L8" i="25"/>
  <c r="K8" i="25"/>
  <c r="M7" i="25"/>
  <c r="L7" i="25"/>
  <c r="K7" i="25"/>
  <c r="M6" i="25"/>
  <c r="L6" i="25"/>
  <c r="K6" i="25"/>
  <c r="M5" i="25"/>
  <c r="L5" i="25"/>
  <c r="K5" i="25"/>
  <c r="L4" i="25"/>
  <c r="K4" i="25"/>
  <c r="M3" i="25"/>
  <c r="L3" i="25"/>
  <c r="K3" i="25"/>
  <c r="I16" i="24"/>
  <c r="H19" i="24"/>
  <c r="I19" i="24" s="1"/>
  <c r="H20" i="24"/>
  <c r="L20" i="24" s="1"/>
  <c r="H18" i="24"/>
  <c r="I18" i="24" s="1"/>
  <c r="H17" i="24"/>
  <c r="L17" i="24" s="1"/>
  <c r="C21" i="24"/>
  <c r="C23" i="24" s="1"/>
  <c r="L16" i="24"/>
  <c r="D8" i="24"/>
  <c r="D11" i="24" s="1"/>
  <c r="C7" i="23"/>
  <c r="C8" i="23"/>
  <c r="C9" i="23"/>
  <c r="C17" i="23"/>
  <c r="M10" i="23"/>
  <c r="L10" i="23"/>
  <c r="G59" i="24"/>
  <c r="C59" i="24"/>
  <c r="B59" i="24"/>
  <c r="L57" i="24"/>
  <c r="K56" i="24"/>
  <c r="K55" i="24"/>
  <c r="K54" i="24"/>
  <c r="K53" i="24"/>
  <c r="K52" i="24"/>
  <c r="D48" i="24"/>
  <c r="C48" i="24"/>
  <c r="B48" i="24"/>
  <c r="D46" i="24"/>
  <c r="C46" i="24"/>
  <c r="B46" i="24"/>
  <c r="I44" i="24"/>
  <c r="M44" i="24" s="1"/>
  <c r="H44" i="24"/>
  <c r="L44" i="24" s="1"/>
  <c r="G44" i="24"/>
  <c r="K44" i="24" s="1"/>
  <c r="F44" i="24"/>
  <c r="I43" i="24"/>
  <c r="M43" i="24" s="1"/>
  <c r="H43" i="24"/>
  <c r="L43" i="24" s="1"/>
  <c r="G43" i="24"/>
  <c r="K43" i="24" s="1"/>
  <c r="F43" i="24"/>
  <c r="I42" i="24"/>
  <c r="M42" i="24" s="1"/>
  <c r="H42" i="24"/>
  <c r="L42" i="24" s="1"/>
  <c r="G42" i="24"/>
  <c r="K42" i="24" s="1"/>
  <c r="F42" i="24"/>
  <c r="L41" i="24"/>
  <c r="I41" i="24"/>
  <c r="M41" i="24" s="1"/>
  <c r="G41" i="24"/>
  <c r="K41" i="24" s="1"/>
  <c r="F41" i="24"/>
  <c r="I40" i="24"/>
  <c r="M40" i="24" s="1"/>
  <c r="H40" i="24"/>
  <c r="L40" i="24" s="1"/>
  <c r="G40" i="24"/>
  <c r="K40" i="24" s="1"/>
  <c r="F40" i="24"/>
  <c r="H39" i="24"/>
  <c r="L39" i="24" s="1"/>
  <c r="G39" i="24"/>
  <c r="K39" i="24" s="1"/>
  <c r="F39" i="24"/>
  <c r="I38" i="24"/>
  <c r="M38" i="24" s="1"/>
  <c r="H38" i="24"/>
  <c r="G38" i="24"/>
  <c r="F38" i="24"/>
  <c r="G23" i="24"/>
  <c r="B23" i="24"/>
  <c r="K20" i="24"/>
  <c r="K19" i="24"/>
  <c r="K18" i="24"/>
  <c r="K17" i="24"/>
  <c r="K16" i="24"/>
  <c r="H12" i="24"/>
  <c r="G12" i="24"/>
  <c r="B12" i="24"/>
  <c r="H11" i="24"/>
  <c r="G11" i="24"/>
  <c r="B11" i="24"/>
  <c r="M9" i="24"/>
  <c r="L9" i="24"/>
  <c r="K9" i="24"/>
  <c r="K8" i="24"/>
  <c r="C11" i="24"/>
  <c r="M7" i="24"/>
  <c r="L7" i="24"/>
  <c r="K7" i="24"/>
  <c r="M6" i="24"/>
  <c r="L6" i="24"/>
  <c r="K6" i="24"/>
  <c r="M5" i="24"/>
  <c r="L5" i="24"/>
  <c r="K5" i="24"/>
  <c r="L4" i="24"/>
  <c r="K4" i="24"/>
  <c r="I12" i="24"/>
  <c r="M3" i="24"/>
  <c r="L3" i="24"/>
  <c r="K3" i="24"/>
  <c r="H19" i="23"/>
  <c r="I7" i="23"/>
  <c r="L18" i="24" l="1"/>
  <c r="I20" i="24"/>
  <c r="L19" i="24"/>
  <c r="C13" i="24"/>
  <c r="H13" i="24"/>
  <c r="H54" i="24"/>
  <c r="L54" i="24" s="1"/>
  <c r="C61" i="24"/>
  <c r="C61" i="25"/>
  <c r="H56" i="24"/>
  <c r="L56" i="24" s="1"/>
  <c r="I17" i="24"/>
  <c r="D23" i="25"/>
  <c r="H13" i="25"/>
  <c r="K59" i="25"/>
  <c r="K59" i="24"/>
  <c r="G48" i="25"/>
  <c r="C25" i="25"/>
  <c r="K23" i="25"/>
  <c r="K11" i="25"/>
  <c r="I48" i="25"/>
  <c r="M48" i="25"/>
  <c r="H46" i="25"/>
  <c r="L12" i="25"/>
  <c r="L38" i="25"/>
  <c r="L48" i="25" s="1"/>
  <c r="L11" i="25"/>
  <c r="K12" i="25"/>
  <c r="M11" i="25"/>
  <c r="M12" i="25"/>
  <c r="I23" i="25"/>
  <c r="H25" i="25"/>
  <c r="M46" i="25"/>
  <c r="I20" i="25"/>
  <c r="D12" i="25"/>
  <c r="G46" i="25"/>
  <c r="K46" i="25" s="1"/>
  <c r="H55" i="25"/>
  <c r="L55" i="25" s="1"/>
  <c r="D11" i="25"/>
  <c r="I18" i="25"/>
  <c r="L18" i="25"/>
  <c r="L20" i="25"/>
  <c r="K38" i="25"/>
  <c r="K48" i="25" s="1"/>
  <c r="H53" i="25"/>
  <c r="I17" i="25"/>
  <c r="I19" i="25"/>
  <c r="I46" i="25"/>
  <c r="H48" i="25"/>
  <c r="L17" i="25"/>
  <c r="K23" i="24"/>
  <c r="C25" i="24"/>
  <c r="D12" i="24"/>
  <c r="M8" i="24"/>
  <c r="H48" i="24"/>
  <c r="K11" i="24"/>
  <c r="H53" i="24"/>
  <c r="L53" i="24" s="1"/>
  <c r="K12" i="24"/>
  <c r="G48" i="24"/>
  <c r="C12" i="24"/>
  <c r="H52" i="24"/>
  <c r="M4" i="24"/>
  <c r="G46" i="24"/>
  <c r="K46" i="24" s="1"/>
  <c r="H55" i="24"/>
  <c r="L55" i="24" s="1"/>
  <c r="L8" i="24"/>
  <c r="H23" i="24"/>
  <c r="I39" i="24"/>
  <c r="K38" i="24"/>
  <c r="K48" i="24" s="1"/>
  <c r="H46" i="24"/>
  <c r="I11" i="24"/>
  <c r="L38" i="24"/>
  <c r="I5" i="23"/>
  <c r="I40" i="23" s="1"/>
  <c r="M40" i="23" s="1"/>
  <c r="I4" i="23"/>
  <c r="I39" i="23" s="1"/>
  <c r="M39" i="23" s="1"/>
  <c r="L18" i="23"/>
  <c r="H16" i="23"/>
  <c r="H52" i="23" s="1"/>
  <c r="C23" i="23"/>
  <c r="L9" i="23"/>
  <c r="L8" i="23"/>
  <c r="L7" i="23"/>
  <c r="H56" i="23"/>
  <c r="L56" i="23" s="1"/>
  <c r="G59" i="23"/>
  <c r="C59" i="23"/>
  <c r="B59" i="23"/>
  <c r="L57" i="23"/>
  <c r="K56" i="23"/>
  <c r="K55" i="23"/>
  <c r="H55" i="23"/>
  <c r="L55" i="23" s="1"/>
  <c r="K54" i="23"/>
  <c r="K53" i="23"/>
  <c r="K52" i="23"/>
  <c r="D48" i="23"/>
  <c r="C48" i="23"/>
  <c r="B48" i="23"/>
  <c r="D46" i="23"/>
  <c r="C46" i="23"/>
  <c r="B46" i="23"/>
  <c r="I44" i="23"/>
  <c r="M44" i="23" s="1"/>
  <c r="H44" i="23"/>
  <c r="L44" i="23" s="1"/>
  <c r="G44" i="23"/>
  <c r="K44" i="23" s="1"/>
  <c r="F44" i="23"/>
  <c r="I43" i="23"/>
  <c r="M43" i="23" s="1"/>
  <c r="H43" i="23"/>
  <c r="L43" i="23" s="1"/>
  <c r="G43" i="23"/>
  <c r="K43" i="23" s="1"/>
  <c r="F43" i="23"/>
  <c r="I42" i="23"/>
  <c r="M42" i="23" s="1"/>
  <c r="H42" i="23"/>
  <c r="L42" i="23" s="1"/>
  <c r="G42" i="23"/>
  <c r="K42" i="23" s="1"/>
  <c r="F42" i="23"/>
  <c r="L41" i="23"/>
  <c r="I41" i="23"/>
  <c r="M41" i="23" s="1"/>
  <c r="G41" i="23"/>
  <c r="K41" i="23" s="1"/>
  <c r="F41" i="23"/>
  <c r="H40" i="23"/>
  <c r="L40" i="23" s="1"/>
  <c r="G40" i="23"/>
  <c r="K40" i="23" s="1"/>
  <c r="F40" i="23"/>
  <c r="H39" i="23"/>
  <c r="L39" i="23" s="1"/>
  <c r="G39" i="23"/>
  <c r="K39" i="23" s="1"/>
  <c r="F39" i="23"/>
  <c r="I38" i="23"/>
  <c r="H38" i="23"/>
  <c r="G38" i="23"/>
  <c r="F38" i="23"/>
  <c r="G23" i="23"/>
  <c r="B23" i="23"/>
  <c r="K20" i="23"/>
  <c r="L19" i="23"/>
  <c r="K19" i="23"/>
  <c r="K18" i="23"/>
  <c r="K17" i="23"/>
  <c r="H53" i="23"/>
  <c r="L53" i="23" s="1"/>
  <c r="K16" i="23"/>
  <c r="H12" i="23"/>
  <c r="G12" i="23"/>
  <c r="D12" i="23"/>
  <c r="B12" i="23"/>
  <c r="H11" i="23"/>
  <c r="G11" i="23"/>
  <c r="D11" i="23"/>
  <c r="B11" i="23"/>
  <c r="M9" i="23"/>
  <c r="K9" i="23"/>
  <c r="M8" i="23"/>
  <c r="K8" i="23"/>
  <c r="M7" i="23"/>
  <c r="K7" i="23"/>
  <c r="M6" i="23"/>
  <c r="L6" i="23"/>
  <c r="K6" i="23"/>
  <c r="L5" i="23"/>
  <c r="K5" i="23"/>
  <c r="L4" i="23"/>
  <c r="K4" i="23"/>
  <c r="M3" i="23"/>
  <c r="L3" i="23"/>
  <c r="K3" i="23"/>
  <c r="H20" i="22"/>
  <c r="H19" i="22"/>
  <c r="L23" i="24" l="1"/>
  <c r="C61" i="23"/>
  <c r="M5" i="23"/>
  <c r="I12" i="23"/>
  <c r="M4" i="23"/>
  <c r="I11" i="23"/>
  <c r="K59" i="23"/>
  <c r="H25" i="24"/>
  <c r="I23" i="24"/>
  <c r="M11" i="24"/>
  <c r="L23" i="25"/>
  <c r="L25" i="25" s="1"/>
  <c r="L46" i="25"/>
  <c r="H59" i="25"/>
  <c r="H61" i="25" s="1"/>
  <c r="L53" i="25"/>
  <c r="L59" i="25" s="1"/>
  <c r="K11" i="23"/>
  <c r="K12" i="23"/>
  <c r="L11" i="24"/>
  <c r="L12" i="24"/>
  <c r="I48" i="24"/>
  <c r="I46" i="24"/>
  <c r="M39" i="24"/>
  <c r="M12" i="24"/>
  <c r="L46" i="24"/>
  <c r="L48" i="24"/>
  <c r="H59" i="24"/>
  <c r="H61" i="24" s="1"/>
  <c r="L52" i="24"/>
  <c r="L59" i="24" s="1"/>
  <c r="G48" i="23"/>
  <c r="H54" i="23"/>
  <c r="L54" i="23" s="1"/>
  <c r="L16" i="23"/>
  <c r="K23" i="23"/>
  <c r="H48" i="23"/>
  <c r="I48" i="23"/>
  <c r="C11" i="23"/>
  <c r="C25" i="23" s="1"/>
  <c r="C12" i="23"/>
  <c r="L11" i="23"/>
  <c r="H23" i="23"/>
  <c r="H25" i="23" s="1"/>
  <c r="L12" i="23"/>
  <c r="L20" i="23"/>
  <c r="K38" i="23"/>
  <c r="K48" i="23" s="1"/>
  <c r="H46" i="23"/>
  <c r="L52" i="23"/>
  <c r="L17" i="23"/>
  <c r="G46" i="23"/>
  <c r="K46" i="23" s="1"/>
  <c r="L38" i="23"/>
  <c r="I46" i="23"/>
  <c r="M38" i="23"/>
  <c r="H27" i="22"/>
  <c r="L25" i="24" l="1"/>
  <c r="M11" i="23"/>
  <c r="M12" i="23"/>
  <c r="L61" i="25"/>
  <c r="L61" i="24"/>
  <c r="M48" i="24"/>
  <c r="M46" i="24"/>
  <c r="L59" i="23"/>
  <c r="H59" i="23"/>
  <c r="H61" i="23" s="1"/>
  <c r="L23" i="23"/>
  <c r="L25" i="23" s="1"/>
  <c r="M48" i="23"/>
  <c r="M46" i="23"/>
  <c r="L48" i="23"/>
  <c r="L46" i="23"/>
  <c r="H18" i="22"/>
  <c r="L61" i="23" l="1"/>
  <c r="H30" i="22"/>
  <c r="H17" i="22"/>
  <c r="L17" i="22" s="1"/>
  <c r="C20" i="22"/>
  <c r="C23" i="22" s="1"/>
  <c r="H22" i="10"/>
  <c r="H24" i="10" s="1"/>
  <c r="G24" i="10"/>
  <c r="G59" i="22"/>
  <c r="C59" i="22"/>
  <c r="B59" i="22"/>
  <c r="L57" i="22"/>
  <c r="K56" i="22"/>
  <c r="K55" i="22"/>
  <c r="H55" i="22"/>
  <c r="L55" i="22" s="1"/>
  <c r="K54" i="22"/>
  <c r="H54" i="22"/>
  <c r="L54" i="22" s="1"/>
  <c r="K53" i="22"/>
  <c r="K52" i="22"/>
  <c r="H52" i="22"/>
  <c r="D48" i="22"/>
  <c r="C48" i="22"/>
  <c r="B48" i="22"/>
  <c r="D46" i="22"/>
  <c r="C46" i="22"/>
  <c r="B46" i="22"/>
  <c r="I44" i="22"/>
  <c r="M44" i="22" s="1"/>
  <c r="H44" i="22"/>
  <c r="L44" i="22" s="1"/>
  <c r="G44" i="22"/>
  <c r="K44" i="22" s="1"/>
  <c r="F44" i="22"/>
  <c r="H43" i="22"/>
  <c r="L43" i="22" s="1"/>
  <c r="G43" i="22"/>
  <c r="K43" i="22" s="1"/>
  <c r="F43" i="22"/>
  <c r="I42" i="22"/>
  <c r="M42" i="22" s="1"/>
  <c r="H42" i="22"/>
  <c r="L42" i="22" s="1"/>
  <c r="G42" i="22"/>
  <c r="K42" i="22" s="1"/>
  <c r="F42" i="22"/>
  <c r="L41" i="22"/>
  <c r="I41" i="22"/>
  <c r="M41" i="22" s="1"/>
  <c r="G41" i="22"/>
  <c r="K41" i="22" s="1"/>
  <c r="F41" i="22"/>
  <c r="I40" i="22"/>
  <c r="M40" i="22" s="1"/>
  <c r="H40" i="22"/>
  <c r="L40" i="22" s="1"/>
  <c r="G40" i="22"/>
  <c r="K40" i="22" s="1"/>
  <c r="F40" i="22"/>
  <c r="I39" i="22"/>
  <c r="M39" i="22" s="1"/>
  <c r="H39" i="22"/>
  <c r="L39" i="22" s="1"/>
  <c r="G39" i="22"/>
  <c r="K39" i="22" s="1"/>
  <c r="F39" i="22"/>
  <c r="I38" i="22"/>
  <c r="H38" i="22"/>
  <c r="G38" i="22"/>
  <c r="F38" i="22"/>
  <c r="G23" i="22"/>
  <c r="B23" i="22"/>
  <c r="K20" i="22"/>
  <c r="H56" i="22"/>
  <c r="L56" i="22" s="1"/>
  <c r="L19" i="22"/>
  <c r="K19" i="22"/>
  <c r="L18" i="22"/>
  <c r="K18" i="22"/>
  <c r="K17" i="22"/>
  <c r="L16" i="22"/>
  <c r="K16" i="22"/>
  <c r="H12" i="22"/>
  <c r="G12" i="22"/>
  <c r="C12" i="22"/>
  <c r="B12" i="22"/>
  <c r="H11" i="22"/>
  <c r="G11" i="22"/>
  <c r="C11" i="22"/>
  <c r="B11" i="22"/>
  <c r="M9" i="22"/>
  <c r="L9" i="22"/>
  <c r="K9" i="22"/>
  <c r="L8" i="22"/>
  <c r="K8" i="22"/>
  <c r="I12" i="22"/>
  <c r="M7" i="22"/>
  <c r="L7" i="22"/>
  <c r="K7" i="22"/>
  <c r="M6" i="22"/>
  <c r="L6" i="22"/>
  <c r="K6" i="22"/>
  <c r="M5" i="22"/>
  <c r="L5" i="22"/>
  <c r="K5" i="22"/>
  <c r="M4" i="22"/>
  <c r="L4" i="22"/>
  <c r="K4" i="22"/>
  <c r="L3" i="22"/>
  <c r="K3" i="22"/>
  <c r="M3" i="22"/>
  <c r="H20" i="21"/>
  <c r="H61" i="21" s="1"/>
  <c r="L61" i="21" s="1"/>
  <c r="H11" i="21"/>
  <c r="I8" i="21"/>
  <c r="I48" i="21" s="1"/>
  <c r="M48" i="21" s="1"/>
  <c r="H17" i="21"/>
  <c r="L17" i="21" s="1"/>
  <c r="G24" i="9"/>
  <c r="H24" i="9"/>
  <c r="D3" i="21"/>
  <c r="D12" i="21" s="1"/>
  <c r="H57" i="21"/>
  <c r="L57" i="21" s="1"/>
  <c r="G64" i="21"/>
  <c r="C64" i="21"/>
  <c r="B64" i="21"/>
  <c r="L62" i="21"/>
  <c r="K61" i="21"/>
  <c r="K60" i="21"/>
  <c r="H60" i="21"/>
  <c r="L60" i="21" s="1"/>
  <c r="K59" i="21"/>
  <c r="H59" i="21"/>
  <c r="L59" i="21" s="1"/>
  <c r="K58" i="21"/>
  <c r="K57" i="21"/>
  <c r="D53" i="21"/>
  <c r="C53" i="21"/>
  <c r="B53" i="21"/>
  <c r="D51" i="21"/>
  <c r="C51" i="21"/>
  <c r="B51" i="21"/>
  <c r="H49" i="21"/>
  <c r="L49" i="21" s="1"/>
  <c r="G49" i="21"/>
  <c r="K49" i="21" s="1"/>
  <c r="F49" i="21"/>
  <c r="H48" i="21"/>
  <c r="L48" i="21" s="1"/>
  <c r="G48" i="21"/>
  <c r="K48" i="21" s="1"/>
  <c r="F48" i="21"/>
  <c r="I47" i="21"/>
  <c r="M47" i="21" s="1"/>
  <c r="H47" i="21"/>
  <c r="L47" i="21" s="1"/>
  <c r="G47" i="21"/>
  <c r="K47" i="21" s="1"/>
  <c r="F47" i="21"/>
  <c r="I46" i="21"/>
  <c r="M46" i="21" s="1"/>
  <c r="L46" i="21"/>
  <c r="G46" i="21"/>
  <c r="K46" i="21" s="1"/>
  <c r="F46" i="21"/>
  <c r="I45" i="21"/>
  <c r="M45" i="21" s="1"/>
  <c r="H45" i="21"/>
  <c r="L45" i="21" s="1"/>
  <c r="G45" i="21"/>
  <c r="K45" i="21" s="1"/>
  <c r="F45" i="21"/>
  <c r="I44" i="21"/>
  <c r="M44" i="21" s="1"/>
  <c r="H44" i="21"/>
  <c r="L44" i="21" s="1"/>
  <c r="G44" i="21"/>
  <c r="K44" i="21" s="1"/>
  <c r="F44" i="21"/>
  <c r="I43" i="21"/>
  <c r="H43" i="21"/>
  <c r="G43" i="21"/>
  <c r="F43" i="21"/>
  <c r="G23" i="21"/>
  <c r="C23" i="21"/>
  <c r="B23" i="21"/>
  <c r="K20" i="21"/>
  <c r="L19" i="21"/>
  <c r="K19" i="21"/>
  <c r="L18" i="21"/>
  <c r="K18" i="21"/>
  <c r="K17" i="21"/>
  <c r="K16" i="21"/>
  <c r="H12" i="21"/>
  <c r="G12" i="21"/>
  <c r="C12" i="21"/>
  <c r="B12" i="21"/>
  <c r="G11" i="21"/>
  <c r="C11" i="21"/>
  <c r="B11" i="21"/>
  <c r="L9" i="21"/>
  <c r="K9" i="21"/>
  <c r="L8" i="21"/>
  <c r="K8" i="21"/>
  <c r="M7" i="21"/>
  <c r="L7" i="21"/>
  <c r="K7" i="21"/>
  <c r="M6" i="21"/>
  <c r="L6" i="21"/>
  <c r="K6" i="21"/>
  <c r="M5" i="21"/>
  <c r="L5" i="21"/>
  <c r="K5" i="21"/>
  <c r="M4" i="21"/>
  <c r="L4" i="21"/>
  <c r="K4" i="21"/>
  <c r="L3" i="21"/>
  <c r="K3" i="21"/>
  <c r="M4" i="20"/>
  <c r="M5" i="20"/>
  <c r="M6" i="20"/>
  <c r="M7" i="20"/>
  <c r="M8" i="20"/>
  <c r="M3" i="20"/>
  <c r="D12" i="20"/>
  <c r="I9" i="20"/>
  <c r="I12" i="20" s="1"/>
  <c r="K11" i="11"/>
  <c r="H11" i="11"/>
  <c r="H10" i="11"/>
  <c r="H9" i="11"/>
  <c r="M8" i="21" l="1"/>
  <c r="I12" i="21"/>
  <c r="M9" i="20"/>
  <c r="M12" i="20" s="1"/>
  <c r="H23" i="22"/>
  <c r="H25" i="22" s="1"/>
  <c r="C61" i="22"/>
  <c r="K59" i="22"/>
  <c r="C25" i="22"/>
  <c r="H53" i="22"/>
  <c r="L53" i="22" s="1"/>
  <c r="K23" i="22"/>
  <c r="K12" i="22"/>
  <c r="L11" i="22"/>
  <c r="K11" i="22"/>
  <c r="G48" i="22"/>
  <c r="H48" i="22"/>
  <c r="D11" i="22"/>
  <c r="G46" i="22"/>
  <c r="K46" i="22" s="1"/>
  <c r="D12" i="22"/>
  <c r="K38" i="22"/>
  <c r="K48" i="22" s="1"/>
  <c r="H46" i="22"/>
  <c r="L52" i="22"/>
  <c r="I43" i="22"/>
  <c r="M43" i="22" s="1"/>
  <c r="L12" i="22"/>
  <c r="M8" i="22"/>
  <c r="M11" i="22" s="1"/>
  <c r="L38" i="22"/>
  <c r="I11" i="22"/>
  <c r="L20" i="22"/>
  <c r="L23" i="22" s="1"/>
  <c r="M38" i="22"/>
  <c r="D11" i="21"/>
  <c r="M3" i="21"/>
  <c r="C66" i="21"/>
  <c r="K64" i="21"/>
  <c r="K23" i="21"/>
  <c r="G53" i="21"/>
  <c r="K11" i="21"/>
  <c r="H53" i="21"/>
  <c r="L16" i="21"/>
  <c r="C25" i="21"/>
  <c r="L12" i="21"/>
  <c r="K12" i="21"/>
  <c r="M9" i="21"/>
  <c r="L11" i="21"/>
  <c r="K43" i="21"/>
  <c r="K53" i="21" s="1"/>
  <c r="G51" i="21"/>
  <c r="K51" i="21" s="1"/>
  <c r="L20" i="21"/>
  <c r="L43" i="21"/>
  <c r="I49" i="21"/>
  <c r="M49" i="21" s="1"/>
  <c r="H51" i="21"/>
  <c r="M43" i="21"/>
  <c r="H58" i="21"/>
  <c r="L58" i="21" s="1"/>
  <c r="L64" i="21" s="1"/>
  <c r="I11" i="21"/>
  <c r="H23" i="21"/>
  <c r="H25" i="21" s="1"/>
  <c r="H12" i="19"/>
  <c r="Q14" i="19" s="1"/>
  <c r="H12" i="18"/>
  <c r="Q13" i="19" s="1"/>
  <c r="H12" i="17"/>
  <c r="Q12" i="19" s="1"/>
  <c r="H12" i="13"/>
  <c r="Q8" i="19" s="1"/>
  <c r="H12" i="12"/>
  <c r="Q7" i="19" s="1"/>
  <c r="H12" i="11"/>
  <c r="Q6" i="19" s="1"/>
  <c r="H12" i="10"/>
  <c r="Q5" i="19" s="1"/>
  <c r="H12" i="9"/>
  <c r="Q4" i="19" s="1"/>
  <c r="H12" i="8"/>
  <c r="Q3" i="19" s="1"/>
  <c r="H59" i="22" l="1"/>
  <c r="H61" i="22" s="1"/>
  <c r="L59" i="22"/>
  <c r="L25" i="22"/>
  <c r="I48" i="22"/>
  <c r="I46" i="22"/>
  <c r="L48" i="22"/>
  <c r="L46" i="22"/>
  <c r="M12" i="22"/>
  <c r="M48" i="22"/>
  <c r="M46" i="22"/>
  <c r="M12" i="21"/>
  <c r="I51" i="21"/>
  <c r="L23" i="21"/>
  <c r="L25" i="21" s="1"/>
  <c r="M51" i="21"/>
  <c r="M53" i="21"/>
  <c r="H64" i="21"/>
  <c r="H66" i="21" s="1"/>
  <c r="M11" i="21"/>
  <c r="I53" i="21"/>
  <c r="L51" i="21"/>
  <c r="L66" i="21" s="1"/>
  <c r="L53" i="21"/>
  <c r="L61" i="22" l="1"/>
  <c r="G14" i="18"/>
  <c r="H14" i="19"/>
  <c r="L26" i="20" l="1"/>
  <c r="C28" i="20"/>
  <c r="H22" i="20"/>
  <c r="H28" i="20" s="1"/>
  <c r="G68" i="20"/>
  <c r="C68" i="20"/>
  <c r="B68" i="20"/>
  <c r="L66" i="20"/>
  <c r="K65" i="20"/>
  <c r="H65" i="20"/>
  <c r="L65" i="20" s="1"/>
  <c r="K64" i="20"/>
  <c r="H64" i="20"/>
  <c r="L64" i="20" s="1"/>
  <c r="K63" i="20"/>
  <c r="H63" i="20"/>
  <c r="L63" i="20" s="1"/>
  <c r="K62" i="20"/>
  <c r="K61" i="20"/>
  <c r="H61" i="20"/>
  <c r="L61" i="20" s="1"/>
  <c r="D57" i="20"/>
  <c r="C57" i="20"/>
  <c r="B57" i="20"/>
  <c r="D55" i="20"/>
  <c r="C55" i="20"/>
  <c r="B55" i="20"/>
  <c r="I53" i="20"/>
  <c r="M53" i="20" s="1"/>
  <c r="H53" i="20"/>
  <c r="L53" i="20" s="1"/>
  <c r="G53" i="20"/>
  <c r="K53" i="20" s="1"/>
  <c r="F53" i="20"/>
  <c r="I52" i="20"/>
  <c r="M52" i="20" s="1"/>
  <c r="H52" i="20"/>
  <c r="L52" i="20" s="1"/>
  <c r="G52" i="20"/>
  <c r="K52" i="20" s="1"/>
  <c r="F52" i="20"/>
  <c r="I51" i="20"/>
  <c r="M51" i="20" s="1"/>
  <c r="H51" i="20"/>
  <c r="L51" i="20" s="1"/>
  <c r="G51" i="20"/>
  <c r="K51" i="20" s="1"/>
  <c r="F51" i="20"/>
  <c r="I50" i="20"/>
  <c r="M50" i="20" s="1"/>
  <c r="H50" i="20"/>
  <c r="L50" i="20" s="1"/>
  <c r="G50" i="20"/>
  <c r="K50" i="20" s="1"/>
  <c r="F50" i="20"/>
  <c r="I49" i="20"/>
  <c r="M49" i="20" s="1"/>
  <c r="H49" i="20"/>
  <c r="L49" i="20" s="1"/>
  <c r="G49" i="20"/>
  <c r="K49" i="20" s="1"/>
  <c r="F49" i="20"/>
  <c r="I48" i="20"/>
  <c r="M48" i="20" s="1"/>
  <c r="H48" i="20"/>
  <c r="L48" i="20" s="1"/>
  <c r="G48" i="20"/>
  <c r="K48" i="20" s="1"/>
  <c r="F48" i="20"/>
  <c r="I47" i="20"/>
  <c r="M47" i="20" s="1"/>
  <c r="H47" i="20"/>
  <c r="G47" i="20"/>
  <c r="F47" i="20"/>
  <c r="G28" i="20"/>
  <c r="B28" i="20"/>
  <c r="L25" i="20"/>
  <c r="K25" i="20"/>
  <c r="L24" i="20"/>
  <c r="K24" i="20"/>
  <c r="L23" i="20"/>
  <c r="K23" i="20"/>
  <c r="K22" i="20"/>
  <c r="L21" i="20"/>
  <c r="K21" i="20"/>
  <c r="I14" i="20"/>
  <c r="H14" i="20"/>
  <c r="G14" i="20"/>
  <c r="B14" i="20"/>
  <c r="H12" i="20"/>
  <c r="G12" i="20"/>
  <c r="B12" i="20"/>
  <c r="L9" i="20"/>
  <c r="K9" i="20"/>
  <c r="D14" i="20"/>
  <c r="L8" i="20"/>
  <c r="K8" i="20"/>
  <c r="L7" i="20"/>
  <c r="K7" i="20"/>
  <c r="L6" i="20"/>
  <c r="K6" i="20"/>
  <c r="L5" i="20"/>
  <c r="K5" i="20"/>
  <c r="K4" i="20"/>
  <c r="C14" i="20"/>
  <c r="L3" i="20"/>
  <c r="K3" i="20"/>
  <c r="G14" i="19"/>
  <c r="G12" i="19"/>
  <c r="C15" i="20" l="1"/>
  <c r="C70" i="20"/>
  <c r="H15" i="20"/>
  <c r="P14" i="19"/>
  <c r="R14" i="19" s="1"/>
  <c r="H15" i="19"/>
  <c r="G15" i="19"/>
  <c r="K68" i="20"/>
  <c r="H30" i="20"/>
  <c r="K12" i="20"/>
  <c r="H62" i="20"/>
  <c r="H68" i="20" s="1"/>
  <c r="L22" i="20"/>
  <c r="L28" i="20" s="1"/>
  <c r="K28" i="20"/>
  <c r="G57" i="20"/>
  <c r="K14" i="20"/>
  <c r="H55" i="20"/>
  <c r="M57" i="20"/>
  <c r="G55" i="20"/>
  <c r="K55" i="20" s="1"/>
  <c r="I55" i="20"/>
  <c r="H57" i="20"/>
  <c r="I57" i="20"/>
  <c r="M55" i="20"/>
  <c r="L4" i="20"/>
  <c r="L12" i="20" s="1"/>
  <c r="C12" i="20"/>
  <c r="C30" i="20" s="1"/>
  <c r="M14" i="20"/>
  <c r="K47" i="20"/>
  <c r="K57" i="20" s="1"/>
  <c r="L47" i="20"/>
  <c r="H25" i="19"/>
  <c r="H22" i="19"/>
  <c r="H70" i="20" l="1"/>
  <c r="L62" i="20"/>
  <c r="L68" i="20" s="1"/>
  <c r="L30" i="20"/>
  <c r="L57" i="20"/>
  <c r="L55" i="20"/>
  <c r="L14" i="20"/>
  <c r="D10" i="19"/>
  <c r="M10" i="19" s="1"/>
  <c r="D9" i="19"/>
  <c r="M9" i="19" s="1"/>
  <c r="D8" i="19"/>
  <c r="M8" i="19" s="1"/>
  <c r="C4" i="19"/>
  <c r="C12" i="19" s="1"/>
  <c r="G64" i="19"/>
  <c r="C64" i="19"/>
  <c r="B64" i="19"/>
  <c r="L62" i="19"/>
  <c r="K61" i="19"/>
  <c r="K60" i="19"/>
  <c r="K59" i="19"/>
  <c r="K58" i="19"/>
  <c r="H58" i="19"/>
  <c r="L58" i="19" s="1"/>
  <c r="K57" i="19"/>
  <c r="H57" i="19"/>
  <c r="D53" i="19"/>
  <c r="C53" i="19"/>
  <c r="B53" i="19"/>
  <c r="D51" i="19"/>
  <c r="C51" i="19"/>
  <c r="B51" i="19"/>
  <c r="I49" i="19"/>
  <c r="M49" i="19" s="1"/>
  <c r="H49" i="19"/>
  <c r="L49" i="19" s="1"/>
  <c r="G49" i="19"/>
  <c r="K49" i="19" s="1"/>
  <c r="F49" i="19"/>
  <c r="I48" i="19"/>
  <c r="M48" i="19" s="1"/>
  <c r="H48" i="19"/>
  <c r="L48" i="19" s="1"/>
  <c r="G48" i="19"/>
  <c r="K48" i="19" s="1"/>
  <c r="F48" i="19"/>
  <c r="I47" i="19"/>
  <c r="M47" i="19" s="1"/>
  <c r="H47" i="19"/>
  <c r="L47" i="19" s="1"/>
  <c r="G47" i="19"/>
  <c r="K47" i="19" s="1"/>
  <c r="F47" i="19"/>
  <c r="I46" i="19"/>
  <c r="M46" i="19" s="1"/>
  <c r="H46" i="19"/>
  <c r="L46" i="19" s="1"/>
  <c r="G46" i="19"/>
  <c r="K46" i="19" s="1"/>
  <c r="F46" i="19"/>
  <c r="I45" i="19"/>
  <c r="M45" i="19" s="1"/>
  <c r="H45" i="19"/>
  <c r="L45" i="19" s="1"/>
  <c r="G45" i="19"/>
  <c r="K45" i="19" s="1"/>
  <c r="F45" i="19"/>
  <c r="I44" i="19"/>
  <c r="M44" i="19" s="1"/>
  <c r="H44" i="19"/>
  <c r="L44" i="19" s="1"/>
  <c r="G44" i="19"/>
  <c r="K44" i="19" s="1"/>
  <c r="F44" i="19"/>
  <c r="I43" i="19"/>
  <c r="H43" i="19"/>
  <c r="G43" i="19"/>
  <c r="K43" i="19" s="1"/>
  <c r="F43" i="19"/>
  <c r="H28" i="19"/>
  <c r="G28" i="19"/>
  <c r="B28" i="19"/>
  <c r="K25" i="19"/>
  <c r="H61" i="19"/>
  <c r="L61" i="19" s="1"/>
  <c r="C28" i="19"/>
  <c r="L24" i="19"/>
  <c r="K24" i="19"/>
  <c r="H60" i="19"/>
  <c r="L60" i="19" s="1"/>
  <c r="K23" i="19"/>
  <c r="H59" i="19"/>
  <c r="L59" i="19" s="1"/>
  <c r="L22" i="19"/>
  <c r="K22" i="19"/>
  <c r="L21" i="19"/>
  <c r="K21" i="19"/>
  <c r="I14" i="19"/>
  <c r="B14" i="19"/>
  <c r="I12" i="19"/>
  <c r="B12" i="19"/>
  <c r="B15" i="19" s="1"/>
  <c r="L10" i="19"/>
  <c r="K10" i="19"/>
  <c r="L9" i="19"/>
  <c r="K9" i="19"/>
  <c r="L8" i="19"/>
  <c r="K8" i="19"/>
  <c r="M7" i="19"/>
  <c r="L7" i="19"/>
  <c r="K7" i="19"/>
  <c r="M6" i="19"/>
  <c r="L6" i="19"/>
  <c r="K6" i="19"/>
  <c r="M5" i="19"/>
  <c r="L5" i="19"/>
  <c r="K5" i="19"/>
  <c r="M4" i="19"/>
  <c r="K4" i="19"/>
  <c r="M3" i="19"/>
  <c r="L3" i="19"/>
  <c r="K3" i="19"/>
  <c r="H25" i="18"/>
  <c r="H56" i="18" s="1"/>
  <c r="L56" i="18" s="1"/>
  <c r="H24" i="18"/>
  <c r="L24" i="18" s="1"/>
  <c r="H23" i="18"/>
  <c r="H54" i="18" s="1"/>
  <c r="L54" i="18" s="1"/>
  <c r="C25" i="18"/>
  <c r="C28" i="18" s="1"/>
  <c r="D6" i="18"/>
  <c r="D12" i="18" s="1"/>
  <c r="G59" i="18"/>
  <c r="C59" i="18"/>
  <c r="B59" i="18"/>
  <c r="L57" i="18"/>
  <c r="K56" i="18"/>
  <c r="K55" i="18"/>
  <c r="K54" i="18"/>
  <c r="K53" i="18"/>
  <c r="H53" i="18"/>
  <c r="L53" i="18" s="1"/>
  <c r="K52" i="18"/>
  <c r="D48" i="18"/>
  <c r="C48" i="18"/>
  <c r="B48" i="18"/>
  <c r="D46" i="18"/>
  <c r="C46" i="18"/>
  <c r="B46" i="18"/>
  <c r="I44" i="18"/>
  <c r="M44" i="18" s="1"/>
  <c r="H44" i="18"/>
  <c r="L44" i="18" s="1"/>
  <c r="G44" i="18"/>
  <c r="K44" i="18" s="1"/>
  <c r="F44" i="18"/>
  <c r="I43" i="18"/>
  <c r="M43" i="18" s="1"/>
  <c r="H43" i="18"/>
  <c r="L43" i="18" s="1"/>
  <c r="G43" i="18"/>
  <c r="K43" i="18" s="1"/>
  <c r="F43" i="18"/>
  <c r="I42" i="18"/>
  <c r="M42" i="18" s="1"/>
  <c r="H42" i="18"/>
  <c r="L42" i="18" s="1"/>
  <c r="G42" i="18"/>
  <c r="K42" i="18" s="1"/>
  <c r="F42" i="18"/>
  <c r="I41" i="18"/>
  <c r="M41" i="18" s="1"/>
  <c r="H41" i="18"/>
  <c r="L41" i="18" s="1"/>
  <c r="G41" i="18"/>
  <c r="K41" i="18" s="1"/>
  <c r="F41" i="18"/>
  <c r="I40" i="18"/>
  <c r="M40" i="18" s="1"/>
  <c r="H40" i="18"/>
  <c r="L40" i="18" s="1"/>
  <c r="G40" i="18"/>
  <c r="K40" i="18" s="1"/>
  <c r="F40" i="18"/>
  <c r="I39" i="18"/>
  <c r="M39" i="18" s="1"/>
  <c r="H39" i="18"/>
  <c r="L39" i="18" s="1"/>
  <c r="G39" i="18"/>
  <c r="K39" i="18" s="1"/>
  <c r="F39" i="18"/>
  <c r="H38" i="18"/>
  <c r="L38" i="18" s="1"/>
  <c r="G38" i="18"/>
  <c r="K38" i="18" s="1"/>
  <c r="F38" i="18"/>
  <c r="G28" i="18"/>
  <c r="B28" i="18"/>
  <c r="K25" i="18"/>
  <c r="K24" i="18"/>
  <c r="K23" i="18"/>
  <c r="L22" i="18"/>
  <c r="K22" i="18"/>
  <c r="K21" i="18"/>
  <c r="H52" i="18"/>
  <c r="H14" i="18"/>
  <c r="C14" i="18"/>
  <c r="B14" i="18"/>
  <c r="G12" i="18"/>
  <c r="C12" i="18"/>
  <c r="B12" i="18"/>
  <c r="M10" i="18"/>
  <c r="L10" i="18"/>
  <c r="K10" i="18"/>
  <c r="M9" i="18"/>
  <c r="L9" i="18"/>
  <c r="K9" i="18"/>
  <c r="M8" i="18"/>
  <c r="L8" i="18"/>
  <c r="K8" i="18"/>
  <c r="M7" i="18"/>
  <c r="L7" i="18"/>
  <c r="K7" i="18"/>
  <c r="L6" i="18"/>
  <c r="K6" i="18"/>
  <c r="M5" i="18"/>
  <c r="L5" i="18"/>
  <c r="K5" i="18"/>
  <c r="M4" i="18"/>
  <c r="L4" i="18"/>
  <c r="K4" i="18"/>
  <c r="L3" i="18"/>
  <c r="K3" i="18"/>
  <c r="I38" i="18"/>
  <c r="H23" i="17"/>
  <c r="H40" i="17"/>
  <c r="L26" i="17"/>
  <c r="M6" i="18" l="1"/>
  <c r="K59" i="18"/>
  <c r="C61" i="18"/>
  <c r="L4" i="19"/>
  <c r="L14" i="19" s="1"/>
  <c r="K12" i="18"/>
  <c r="P13" i="19"/>
  <c r="R13" i="19" s="1"/>
  <c r="H15" i="18"/>
  <c r="L25" i="18"/>
  <c r="C15" i="19"/>
  <c r="L70" i="20"/>
  <c r="K64" i="19"/>
  <c r="C66" i="19"/>
  <c r="K28" i="19"/>
  <c r="G51" i="19"/>
  <c r="K51" i="19" s="1"/>
  <c r="I53" i="19"/>
  <c r="H53" i="19"/>
  <c r="K53" i="19"/>
  <c r="H30" i="19"/>
  <c r="D12" i="19"/>
  <c r="C14" i="19"/>
  <c r="K14" i="19"/>
  <c r="D14" i="19"/>
  <c r="M14" i="19"/>
  <c r="K12" i="19"/>
  <c r="C30" i="19"/>
  <c r="H64" i="19"/>
  <c r="G53" i="19"/>
  <c r="L57" i="19"/>
  <c r="L64" i="19" s="1"/>
  <c r="L43" i="19"/>
  <c r="H51" i="19"/>
  <c r="L25" i="19"/>
  <c r="M43" i="19"/>
  <c r="I51" i="19"/>
  <c r="M12" i="19"/>
  <c r="L23" i="19"/>
  <c r="H55" i="18"/>
  <c r="L55" i="18" s="1"/>
  <c r="K28" i="18"/>
  <c r="D14" i="18"/>
  <c r="K48" i="18"/>
  <c r="H48" i="18"/>
  <c r="C30" i="18"/>
  <c r="L12" i="18"/>
  <c r="K14" i="18"/>
  <c r="L48" i="18"/>
  <c r="I48" i="18"/>
  <c r="I46" i="18"/>
  <c r="M38" i="18"/>
  <c r="L52" i="18"/>
  <c r="L14" i="18"/>
  <c r="L23" i="18"/>
  <c r="L46" i="18"/>
  <c r="G46" i="18"/>
  <c r="K46" i="18" s="1"/>
  <c r="G48" i="18"/>
  <c r="M3" i="18"/>
  <c r="L21" i="18"/>
  <c r="I12" i="18"/>
  <c r="H28" i="18"/>
  <c r="H30" i="18" s="1"/>
  <c r="H46" i="18"/>
  <c r="I14" i="18"/>
  <c r="H21" i="17"/>
  <c r="L12" i="19" l="1"/>
  <c r="H59" i="18"/>
  <c r="H61" i="18" s="1"/>
  <c r="L59" i="18"/>
  <c r="L61" i="18" s="1"/>
  <c r="L28" i="19"/>
  <c r="L53" i="19"/>
  <c r="L51" i="19"/>
  <c r="L66" i="19" s="1"/>
  <c r="M53" i="19"/>
  <c r="M51" i="19"/>
  <c r="H66" i="19"/>
  <c r="M46" i="18"/>
  <c r="M48" i="18"/>
  <c r="L28" i="18"/>
  <c r="L30" i="18" s="1"/>
  <c r="M14" i="18"/>
  <c r="M12" i="18"/>
  <c r="I3" i="17"/>
  <c r="C24" i="17"/>
  <c r="C23" i="17"/>
  <c r="C22" i="17"/>
  <c r="L30" i="19" l="1"/>
  <c r="G59" i="17"/>
  <c r="C59" i="17"/>
  <c r="B59" i="17"/>
  <c r="L57" i="17"/>
  <c r="K56" i="17"/>
  <c r="H56" i="17"/>
  <c r="L56" i="17" s="1"/>
  <c r="K55" i="17"/>
  <c r="H55" i="17"/>
  <c r="L55" i="17" s="1"/>
  <c r="K54" i="17"/>
  <c r="H54" i="17"/>
  <c r="L54" i="17" s="1"/>
  <c r="K53" i="17"/>
  <c r="H53" i="17"/>
  <c r="L53" i="17" s="1"/>
  <c r="K52" i="17"/>
  <c r="D48" i="17"/>
  <c r="C48" i="17"/>
  <c r="B48" i="17"/>
  <c r="D46" i="17"/>
  <c r="C46" i="17"/>
  <c r="B46" i="17"/>
  <c r="I44" i="17"/>
  <c r="M44" i="17" s="1"/>
  <c r="H44" i="17"/>
  <c r="L44" i="17" s="1"/>
  <c r="G44" i="17"/>
  <c r="K44" i="17" s="1"/>
  <c r="F44" i="17"/>
  <c r="I43" i="17"/>
  <c r="M43" i="17" s="1"/>
  <c r="H43" i="17"/>
  <c r="L43" i="17" s="1"/>
  <c r="G43" i="17"/>
  <c r="K43" i="17" s="1"/>
  <c r="F43" i="17"/>
  <c r="H42" i="17"/>
  <c r="L42" i="17" s="1"/>
  <c r="G42" i="17"/>
  <c r="F42" i="17"/>
  <c r="I41" i="17"/>
  <c r="M41" i="17" s="1"/>
  <c r="H41" i="17"/>
  <c r="L41" i="17" s="1"/>
  <c r="G41" i="17"/>
  <c r="K41" i="17" s="1"/>
  <c r="F41" i="17"/>
  <c r="I40" i="17"/>
  <c r="M40" i="17" s="1"/>
  <c r="L40" i="17"/>
  <c r="G40" i="17"/>
  <c r="K40" i="17" s="1"/>
  <c r="F40" i="17"/>
  <c r="I39" i="17"/>
  <c r="M39" i="17" s="1"/>
  <c r="H39" i="17"/>
  <c r="L39" i="17" s="1"/>
  <c r="G39" i="17"/>
  <c r="K39" i="17" s="1"/>
  <c r="F39" i="17"/>
  <c r="I38" i="17"/>
  <c r="H38" i="17"/>
  <c r="G38" i="17"/>
  <c r="F38" i="17"/>
  <c r="G28" i="17"/>
  <c r="C28" i="17"/>
  <c r="B28" i="17"/>
  <c r="L25" i="17"/>
  <c r="K25" i="17"/>
  <c r="L24" i="17"/>
  <c r="K24" i="17"/>
  <c r="L23" i="17"/>
  <c r="K23" i="17"/>
  <c r="L22" i="17"/>
  <c r="K22" i="17"/>
  <c r="L21" i="17"/>
  <c r="K21" i="17"/>
  <c r="H52" i="17"/>
  <c r="H14" i="17"/>
  <c r="G14" i="17"/>
  <c r="D14" i="17"/>
  <c r="C14" i="17"/>
  <c r="B14" i="17"/>
  <c r="I12" i="17"/>
  <c r="G12" i="17"/>
  <c r="P12" i="19" s="1"/>
  <c r="R12" i="19" s="1"/>
  <c r="D12" i="17"/>
  <c r="C12" i="17"/>
  <c r="B12" i="17"/>
  <c r="M10" i="17"/>
  <c r="L10" i="17"/>
  <c r="K10" i="17"/>
  <c r="M9" i="17"/>
  <c r="L9" i="17"/>
  <c r="K9" i="17"/>
  <c r="M8" i="17"/>
  <c r="L8" i="17"/>
  <c r="K8" i="17"/>
  <c r="L7" i="17"/>
  <c r="K7" i="17"/>
  <c r="I42" i="17"/>
  <c r="M6" i="17"/>
  <c r="L6" i="17"/>
  <c r="K6" i="17"/>
  <c r="M5" i="17"/>
  <c r="L5" i="17"/>
  <c r="K5" i="17"/>
  <c r="M4" i="17"/>
  <c r="L4" i="17"/>
  <c r="K4" i="17"/>
  <c r="M3" i="17"/>
  <c r="L3" i="17"/>
  <c r="K3" i="17"/>
  <c r="C30" i="17" l="1"/>
  <c r="C61" i="17"/>
  <c r="K59" i="17"/>
  <c r="I48" i="17"/>
  <c r="L28" i="17"/>
  <c r="K28" i="17"/>
  <c r="H46" i="17"/>
  <c r="L38" i="17"/>
  <c r="L48" i="17" s="1"/>
  <c r="M38" i="17"/>
  <c r="K14" i="17"/>
  <c r="K12" i="17"/>
  <c r="L14" i="17"/>
  <c r="G48" i="17"/>
  <c r="G46" i="17"/>
  <c r="K46" i="17" s="1"/>
  <c r="L52" i="17"/>
  <c r="L59" i="17" s="1"/>
  <c r="H59" i="17"/>
  <c r="M42" i="17"/>
  <c r="I46" i="17"/>
  <c r="K38" i="17"/>
  <c r="M7" i="17"/>
  <c r="M14" i="17" s="1"/>
  <c r="I14" i="17"/>
  <c r="L12" i="17"/>
  <c r="K42" i="17"/>
  <c r="H48" i="17"/>
  <c r="H28" i="17"/>
  <c r="H30" i="17" s="1"/>
  <c r="M48" i="17" l="1"/>
  <c r="K48" i="17"/>
  <c r="M46" i="17"/>
  <c r="L46" i="17"/>
  <c r="L61" i="17" s="1"/>
  <c r="L30" i="17"/>
  <c r="H61" i="17"/>
  <c r="M12" i="17"/>
  <c r="H12" i="16" l="1"/>
  <c r="Q11" i="19" s="1"/>
  <c r="I7" i="16" l="1"/>
  <c r="H23" i="16" l="1"/>
  <c r="H54" i="16" s="1"/>
  <c r="L54" i="16" s="1"/>
  <c r="H55" i="16"/>
  <c r="L55" i="16" s="1"/>
  <c r="L25" i="16"/>
  <c r="H21" i="16"/>
  <c r="L21" i="16" s="1"/>
  <c r="G59" i="16"/>
  <c r="C59" i="16"/>
  <c r="B59" i="16"/>
  <c r="L57" i="16"/>
  <c r="K56" i="16"/>
  <c r="H56" i="16"/>
  <c r="L56" i="16" s="1"/>
  <c r="K55" i="16"/>
  <c r="K54" i="16"/>
  <c r="K53" i="16"/>
  <c r="H53" i="16"/>
  <c r="L53" i="16" s="1"/>
  <c r="K52" i="16"/>
  <c r="D48" i="16"/>
  <c r="C48" i="16"/>
  <c r="B48" i="16"/>
  <c r="D46" i="16"/>
  <c r="C46" i="16"/>
  <c r="B46" i="16"/>
  <c r="I44" i="16"/>
  <c r="M44" i="16" s="1"/>
  <c r="H44" i="16"/>
  <c r="L44" i="16" s="1"/>
  <c r="G44" i="16"/>
  <c r="K44" i="16" s="1"/>
  <c r="F44" i="16"/>
  <c r="I43" i="16"/>
  <c r="M43" i="16" s="1"/>
  <c r="H43" i="16"/>
  <c r="L43" i="16" s="1"/>
  <c r="G43" i="16"/>
  <c r="K43" i="16" s="1"/>
  <c r="F43" i="16"/>
  <c r="I42" i="16"/>
  <c r="M42" i="16" s="1"/>
  <c r="H42" i="16"/>
  <c r="L42" i="16" s="1"/>
  <c r="G42" i="16"/>
  <c r="K42" i="16" s="1"/>
  <c r="F42" i="16"/>
  <c r="I41" i="16"/>
  <c r="M41" i="16" s="1"/>
  <c r="H41" i="16"/>
  <c r="L41" i="16" s="1"/>
  <c r="G41" i="16"/>
  <c r="K41" i="16" s="1"/>
  <c r="F41" i="16"/>
  <c r="I40" i="16"/>
  <c r="M40" i="16" s="1"/>
  <c r="H40" i="16"/>
  <c r="L40" i="16" s="1"/>
  <c r="G40" i="16"/>
  <c r="K40" i="16" s="1"/>
  <c r="F40" i="16"/>
  <c r="I39" i="16"/>
  <c r="M39" i="16" s="1"/>
  <c r="H39" i="16"/>
  <c r="L39" i="16" s="1"/>
  <c r="G39" i="16"/>
  <c r="K39" i="16" s="1"/>
  <c r="F39" i="16"/>
  <c r="I38" i="16"/>
  <c r="H38" i="16"/>
  <c r="G38" i="16"/>
  <c r="F38" i="16"/>
  <c r="G28" i="16"/>
  <c r="C28" i="16"/>
  <c r="B28" i="16"/>
  <c r="K25" i="16"/>
  <c r="K24" i="16"/>
  <c r="K23" i="16"/>
  <c r="L22" i="16"/>
  <c r="K22" i="16"/>
  <c r="K21" i="16"/>
  <c r="I14" i="16"/>
  <c r="H14" i="16"/>
  <c r="G14" i="16"/>
  <c r="D14" i="16"/>
  <c r="C14" i="16"/>
  <c r="B14" i="16"/>
  <c r="I12" i="16"/>
  <c r="G12" i="16"/>
  <c r="P11" i="19" s="1"/>
  <c r="R11" i="19" s="1"/>
  <c r="D12" i="16"/>
  <c r="C12" i="16"/>
  <c r="B12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3" i="16"/>
  <c r="L3" i="16"/>
  <c r="K3" i="16"/>
  <c r="H24" i="15"/>
  <c r="C55" i="27" l="1"/>
  <c r="L55" i="27" s="1"/>
  <c r="C56" i="32"/>
  <c r="L56" i="32" s="1"/>
  <c r="C55" i="31"/>
  <c r="L55" i="31" s="1"/>
  <c r="C55" i="30"/>
  <c r="L55" i="30" s="1"/>
  <c r="C55" i="28"/>
  <c r="L55" i="28" s="1"/>
  <c r="L23" i="16"/>
  <c r="K59" i="16"/>
  <c r="C61" i="16"/>
  <c r="L24" i="16"/>
  <c r="H48" i="16"/>
  <c r="H52" i="16"/>
  <c r="H59" i="16" s="1"/>
  <c r="H28" i="16"/>
  <c r="H30" i="16" s="1"/>
  <c r="L14" i="16"/>
  <c r="K12" i="16"/>
  <c r="C30" i="16"/>
  <c r="K28" i="16"/>
  <c r="M14" i="16"/>
  <c r="I48" i="16"/>
  <c r="K14" i="16"/>
  <c r="G46" i="16"/>
  <c r="K46" i="16" s="1"/>
  <c r="K38" i="16"/>
  <c r="K48" i="16" s="1"/>
  <c r="L12" i="16"/>
  <c r="L38" i="16"/>
  <c r="H46" i="16"/>
  <c r="G48" i="16"/>
  <c r="M12" i="16"/>
  <c r="M38" i="16"/>
  <c r="I46" i="16"/>
  <c r="H23" i="15"/>
  <c r="C54" i="27" l="1"/>
  <c r="L54" i="27" s="1"/>
  <c r="C55" i="32"/>
  <c r="L55" i="32" s="1"/>
  <c r="C54" i="31"/>
  <c r="L54" i="31" s="1"/>
  <c r="C54" i="30"/>
  <c r="L54" i="30" s="1"/>
  <c r="C54" i="28"/>
  <c r="L54" i="28" s="1"/>
  <c r="L28" i="16"/>
  <c r="L30" i="16" s="1"/>
  <c r="L52" i="16"/>
  <c r="L59" i="16" s="1"/>
  <c r="H61" i="16"/>
  <c r="L48" i="16"/>
  <c r="L46" i="16"/>
  <c r="M46" i="16"/>
  <c r="M48" i="16"/>
  <c r="H12" i="15"/>
  <c r="Q10" i="19" s="1"/>
  <c r="L61" i="16" l="1"/>
  <c r="H21" i="15"/>
  <c r="B28" i="15"/>
  <c r="C52" i="27" l="1"/>
  <c r="C59" i="27" s="1"/>
  <c r="C53" i="32"/>
  <c r="C52" i="31"/>
  <c r="C52" i="30"/>
  <c r="C52" i="28"/>
  <c r="C12" i="15"/>
  <c r="M10" i="15"/>
  <c r="L10" i="15"/>
  <c r="K10" i="15"/>
  <c r="C59" i="31" l="1"/>
  <c r="L52" i="31"/>
  <c r="L59" i="31" s="1"/>
  <c r="L53" i="32"/>
  <c r="L60" i="32" s="1"/>
  <c r="C60" i="32"/>
  <c r="L52" i="27"/>
  <c r="L59" i="27" s="1"/>
  <c r="C59" i="28"/>
  <c r="L52" i="28"/>
  <c r="L59" i="28" s="1"/>
  <c r="C59" i="30"/>
  <c r="L52" i="30"/>
  <c r="L59" i="30" s="1"/>
  <c r="G59" i="15"/>
  <c r="C59" i="15"/>
  <c r="B59" i="15"/>
  <c r="L57" i="15"/>
  <c r="K56" i="15"/>
  <c r="K55" i="15"/>
  <c r="H55" i="15"/>
  <c r="L55" i="15" s="1"/>
  <c r="K54" i="15"/>
  <c r="H54" i="15"/>
  <c r="L54" i="15" s="1"/>
  <c r="K53" i="15"/>
  <c r="K52" i="15"/>
  <c r="H52" i="15"/>
  <c r="D48" i="15"/>
  <c r="C48" i="15"/>
  <c r="B48" i="15"/>
  <c r="D46" i="15"/>
  <c r="C46" i="15"/>
  <c r="B46" i="15"/>
  <c r="I44" i="15"/>
  <c r="H44" i="15"/>
  <c r="G44" i="15"/>
  <c r="F44" i="15"/>
  <c r="I43" i="15"/>
  <c r="H43" i="15"/>
  <c r="G43" i="15"/>
  <c r="F43" i="15"/>
  <c r="G42" i="15"/>
  <c r="F42" i="15"/>
  <c r="I41" i="15"/>
  <c r="H41" i="15"/>
  <c r="G41" i="15"/>
  <c r="F41" i="15"/>
  <c r="I40" i="15"/>
  <c r="H40" i="15"/>
  <c r="G40" i="15"/>
  <c r="F40" i="15"/>
  <c r="I39" i="15"/>
  <c r="H39" i="15"/>
  <c r="G39" i="15"/>
  <c r="F39" i="15"/>
  <c r="I38" i="15"/>
  <c r="H38" i="15"/>
  <c r="G38" i="15"/>
  <c r="F38" i="15"/>
  <c r="G28" i="15"/>
  <c r="C28" i="15"/>
  <c r="L26" i="15"/>
  <c r="K26" i="15"/>
  <c r="K25" i="15"/>
  <c r="H56" i="15"/>
  <c r="L56" i="15" s="1"/>
  <c r="L24" i="15"/>
  <c r="K24" i="15"/>
  <c r="L23" i="15"/>
  <c r="K23" i="15"/>
  <c r="K22" i="15"/>
  <c r="H28" i="15"/>
  <c r="L21" i="15"/>
  <c r="K21" i="15"/>
  <c r="H14" i="15"/>
  <c r="G14" i="15"/>
  <c r="D14" i="15"/>
  <c r="C14" i="15"/>
  <c r="B14" i="15"/>
  <c r="I12" i="15"/>
  <c r="G12" i="15"/>
  <c r="P10" i="19" s="1"/>
  <c r="R10" i="19" s="1"/>
  <c r="D12" i="15"/>
  <c r="B12" i="15"/>
  <c r="M9" i="15"/>
  <c r="L9" i="15"/>
  <c r="K9" i="15"/>
  <c r="M8" i="15"/>
  <c r="L8" i="15"/>
  <c r="K8" i="15"/>
  <c r="K7" i="15"/>
  <c r="I42" i="15"/>
  <c r="H42" i="15"/>
  <c r="M6" i="15"/>
  <c r="L6" i="15"/>
  <c r="K6" i="15"/>
  <c r="M5" i="15"/>
  <c r="L5" i="15"/>
  <c r="K5" i="15"/>
  <c r="M4" i="15"/>
  <c r="L4" i="15"/>
  <c r="K4" i="15"/>
  <c r="M3" i="15"/>
  <c r="L3" i="15"/>
  <c r="K3" i="15"/>
  <c r="H25" i="14"/>
  <c r="C20" i="26" s="1"/>
  <c r="A41" i="27" l="1"/>
  <c r="A42" i="32"/>
  <c r="A41" i="31"/>
  <c r="A41" i="30"/>
  <c r="A41" i="28"/>
  <c r="D44" i="32"/>
  <c r="M44" i="32" s="1"/>
  <c r="D43" i="31"/>
  <c r="M43" i="31" s="1"/>
  <c r="D43" i="30"/>
  <c r="M43" i="30" s="1"/>
  <c r="D43" i="28"/>
  <c r="M43" i="28" s="1"/>
  <c r="D38" i="27"/>
  <c r="M38" i="27" s="1"/>
  <c r="D39" i="32"/>
  <c r="D38" i="31"/>
  <c r="D38" i="30"/>
  <c r="D38" i="28"/>
  <c r="C44" i="32"/>
  <c r="L44" i="32" s="1"/>
  <c r="C43" i="31"/>
  <c r="L43" i="31" s="1"/>
  <c r="C43" i="30"/>
  <c r="L43" i="30" s="1"/>
  <c r="C43" i="28"/>
  <c r="L43" i="28" s="1"/>
  <c r="B42" i="32"/>
  <c r="K42" i="32" s="1"/>
  <c r="B41" i="31"/>
  <c r="B41" i="30"/>
  <c r="K41" i="30" s="1"/>
  <c r="B41" i="28"/>
  <c r="K41" i="28" s="1"/>
  <c r="A39" i="27"/>
  <c r="A40" i="32"/>
  <c r="A39" i="31"/>
  <c r="A39" i="30"/>
  <c r="A39" i="28"/>
  <c r="C42" i="32"/>
  <c r="L42" i="32" s="1"/>
  <c r="C41" i="31"/>
  <c r="L41" i="31" s="1"/>
  <c r="C41" i="30"/>
  <c r="L41" i="30" s="1"/>
  <c r="C41" i="28"/>
  <c r="L41" i="28" s="1"/>
  <c r="D40" i="32"/>
  <c r="M40" i="32" s="1"/>
  <c r="D39" i="31"/>
  <c r="M39" i="31" s="1"/>
  <c r="D39" i="30"/>
  <c r="M39" i="30" s="1"/>
  <c r="D39" i="28"/>
  <c r="M39" i="28" s="1"/>
  <c r="D42" i="32"/>
  <c r="M42" i="32" s="1"/>
  <c r="D41" i="31"/>
  <c r="M41" i="31" s="1"/>
  <c r="D41" i="30"/>
  <c r="M41" i="30" s="1"/>
  <c r="D41" i="28"/>
  <c r="C43" i="32"/>
  <c r="L43" i="32" s="1"/>
  <c r="C42" i="31"/>
  <c r="L42" i="31" s="1"/>
  <c r="C42" i="30"/>
  <c r="L42" i="30" s="1"/>
  <c r="C42" i="28"/>
  <c r="L42" i="28" s="1"/>
  <c r="A38" i="27"/>
  <c r="A39" i="32"/>
  <c r="A38" i="31"/>
  <c r="A38" i="30"/>
  <c r="A38" i="28"/>
  <c r="A40" i="27"/>
  <c r="A41" i="32"/>
  <c r="A40" i="31"/>
  <c r="A40" i="30"/>
  <c r="A40" i="28"/>
  <c r="A42" i="27"/>
  <c r="A43" i="32"/>
  <c r="A42" i="31"/>
  <c r="A42" i="30"/>
  <c r="A42" i="28"/>
  <c r="C45" i="32"/>
  <c r="L45" i="32" s="1"/>
  <c r="C44" i="31"/>
  <c r="L44" i="31" s="1"/>
  <c r="C44" i="30"/>
  <c r="L44" i="30" s="1"/>
  <c r="C44" i="28"/>
  <c r="L44" i="28" s="1"/>
  <c r="D45" i="32"/>
  <c r="M45" i="32" s="1"/>
  <c r="D44" i="31"/>
  <c r="M44" i="31" s="1"/>
  <c r="D44" i="30"/>
  <c r="M44" i="30" s="1"/>
  <c r="D44" i="28"/>
  <c r="M44" i="28" s="1"/>
  <c r="B40" i="32"/>
  <c r="K40" i="32" s="1"/>
  <c r="B39" i="31"/>
  <c r="K39" i="31" s="1"/>
  <c r="B39" i="30"/>
  <c r="K39" i="30" s="1"/>
  <c r="B39" i="28"/>
  <c r="K39" i="28" s="1"/>
  <c r="C40" i="32"/>
  <c r="L40" i="32" s="1"/>
  <c r="C39" i="31"/>
  <c r="L39" i="31" s="1"/>
  <c r="C39" i="30"/>
  <c r="L39" i="30" s="1"/>
  <c r="C39" i="28"/>
  <c r="L39" i="28" s="1"/>
  <c r="A44" i="27"/>
  <c r="A45" i="32"/>
  <c r="A44" i="31"/>
  <c r="A44" i="30"/>
  <c r="A44" i="28"/>
  <c r="B45" i="32"/>
  <c r="K45" i="32" s="1"/>
  <c r="B44" i="31"/>
  <c r="K44" i="31" s="1"/>
  <c r="B44" i="30"/>
  <c r="K44" i="30" s="1"/>
  <c r="B44" i="28"/>
  <c r="K44" i="28" s="1"/>
  <c r="D43" i="32"/>
  <c r="M43" i="32" s="1"/>
  <c r="D42" i="31"/>
  <c r="M42" i="31" s="1"/>
  <c r="D42" i="30"/>
  <c r="M42" i="30" s="1"/>
  <c r="D42" i="28"/>
  <c r="M42" i="28" s="1"/>
  <c r="B38" i="27"/>
  <c r="K38" i="27" s="1"/>
  <c r="B39" i="32"/>
  <c r="B38" i="31"/>
  <c r="B38" i="30"/>
  <c r="B38" i="28"/>
  <c r="B41" i="32"/>
  <c r="K41" i="32" s="1"/>
  <c r="B40" i="31"/>
  <c r="K40" i="31" s="1"/>
  <c r="B40" i="30"/>
  <c r="K40" i="30" s="1"/>
  <c r="B40" i="28"/>
  <c r="K40" i="28" s="1"/>
  <c r="B43" i="32"/>
  <c r="K43" i="32" s="1"/>
  <c r="B42" i="31"/>
  <c r="K42" i="31" s="1"/>
  <c r="B42" i="30"/>
  <c r="K42" i="30" s="1"/>
  <c r="B42" i="28"/>
  <c r="K42" i="28" s="1"/>
  <c r="C38" i="27"/>
  <c r="L38" i="27" s="1"/>
  <c r="C39" i="32"/>
  <c r="C38" i="31"/>
  <c r="C38" i="30"/>
  <c r="C38" i="28"/>
  <c r="C41" i="32"/>
  <c r="L41" i="32" s="1"/>
  <c r="C40" i="31"/>
  <c r="L40" i="31" s="1"/>
  <c r="C40" i="30"/>
  <c r="L40" i="30" s="1"/>
  <c r="C40" i="28"/>
  <c r="L40" i="28" s="1"/>
  <c r="A43" i="27"/>
  <c r="A44" i="32"/>
  <c r="A43" i="31"/>
  <c r="A43" i="30"/>
  <c r="A43" i="28"/>
  <c r="D41" i="32"/>
  <c r="M41" i="32" s="1"/>
  <c r="D40" i="31"/>
  <c r="M40" i="31" s="1"/>
  <c r="D40" i="30"/>
  <c r="M40" i="30" s="1"/>
  <c r="D40" i="28"/>
  <c r="M40" i="28" s="1"/>
  <c r="B44" i="32"/>
  <c r="K44" i="32" s="1"/>
  <c r="B43" i="31"/>
  <c r="K43" i="31" s="1"/>
  <c r="B43" i="30"/>
  <c r="K43" i="30" s="1"/>
  <c r="B43" i="28"/>
  <c r="K43" i="28" s="1"/>
  <c r="M43" i="15"/>
  <c r="D43" i="27"/>
  <c r="M43" i="27" s="1"/>
  <c r="M39" i="15"/>
  <c r="D39" i="27"/>
  <c r="M39" i="27" s="1"/>
  <c r="M41" i="15"/>
  <c r="D41" i="27"/>
  <c r="M41" i="27" s="1"/>
  <c r="M42" i="15"/>
  <c r="D42" i="27"/>
  <c r="M42" i="27" s="1"/>
  <c r="M44" i="15"/>
  <c r="D44" i="27"/>
  <c r="M44" i="27" s="1"/>
  <c r="M40" i="15"/>
  <c r="D40" i="27"/>
  <c r="M40" i="27" s="1"/>
  <c r="L43" i="15"/>
  <c r="C43" i="27"/>
  <c r="L43" i="27" s="1"/>
  <c r="L39" i="15"/>
  <c r="C39" i="27"/>
  <c r="L39" i="27" s="1"/>
  <c r="L41" i="15"/>
  <c r="C41" i="27"/>
  <c r="L41" i="27" s="1"/>
  <c r="L42" i="15"/>
  <c r="C42" i="27"/>
  <c r="L42" i="27" s="1"/>
  <c r="L44" i="15"/>
  <c r="C44" i="27"/>
  <c r="L44" i="27" s="1"/>
  <c r="L40" i="15"/>
  <c r="C40" i="27"/>
  <c r="L40" i="27" s="1"/>
  <c r="K39" i="15"/>
  <c r="B39" i="27"/>
  <c r="K39" i="27" s="1"/>
  <c r="K41" i="15"/>
  <c r="B41" i="27"/>
  <c r="K41" i="27" s="1"/>
  <c r="K44" i="15"/>
  <c r="B44" i="27"/>
  <c r="K44" i="27" s="1"/>
  <c r="K40" i="15"/>
  <c r="B40" i="27"/>
  <c r="K40" i="27" s="1"/>
  <c r="K42" i="15"/>
  <c r="B42" i="27"/>
  <c r="K42" i="27" s="1"/>
  <c r="K43" i="15"/>
  <c r="B43" i="27"/>
  <c r="K43" i="27" s="1"/>
  <c r="C61" i="15"/>
  <c r="K59" i="15"/>
  <c r="D20" i="26"/>
  <c r="L20" i="26"/>
  <c r="K12" i="15"/>
  <c r="C30" i="15"/>
  <c r="K28" i="15"/>
  <c r="K14" i="15"/>
  <c r="G48" i="15"/>
  <c r="H30" i="15"/>
  <c r="H48" i="15"/>
  <c r="I48" i="15"/>
  <c r="L22" i="15"/>
  <c r="L25" i="15"/>
  <c r="K38" i="15"/>
  <c r="G46" i="15"/>
  <c r="K46" i="15" s="1"/>
  <c r="L7" i="15"/>
  <c r="L12" i="15" s="1"/>
  <c r="L38" i="15"/>
  <c r="H46" i="15"/>
  <c r="L52" i="15"/>
  <c r="I14" i="15"/>
  <c r="M7" i="15"/>
  <c r="M12" i="15" s="1"/>
  <c r="M38" i="15"/>
  <c r="I46" i="15"/>
  <c r="H53" i="15"/>
  <c r="L53" i="15" s="1"/>
  <c r="C48" i="31" l="1"/>
  <c r="L38" i="31"/>
  <c r="C46" i="31"/>
  <c r="C61" i="31" s="1"/>
  <c r="C48" i="30"/>
  <c r="C46" i="30"/>
  <c r="C61" i="30" s="1"/>
  <c r="L38" i="30"/>
  <c r="C49" i="32"/>
  <c r="C47" i="32"/>
  <c r="C62" i="32" s="1"/>
  <c r="L39" i="32"/>
  <c r="D46" i="28"/>
  <c r="M41" i="28"/>
  <c r="D48" i="28"/>
  <c r="M38" i="28"/>
  <c r="B48" i="28"/>
  <c r="B46" i="28"/>
  <c r="K46" i="28" s="1"/>
  <c r="K38" i="28"/>
  <c r="K48" i="28" s="1"/>
  <c r="M38" i="30"/>
  <c r="D48" i="30"/>
  <c r="D46" i="30"/>
  <c r="B48" i="30"/>
  <c r="K38" i="30"/>
  <c r="K48" i="30" s="1"/>
  <c r="B46" i="30"/>
  <c r="K46" i="30" s="1"/>
  <c r="B48" i="31"/>
  <c r="K41" i="31"/>
  <c r="D48" i="31"/>
  <c r="M38" i="31"/>
  <c r="D46" i="31"/>
  <c r="B46" i="31"/>
  <c r="K46" i="31" s="1"/>
  <c r="K38" i="31"/>
  <c r="D47" i="32"/>
  <c r="M39" i="32"/>
  <c r="D49" i="32"/>
  <c r="C46" i="28"/>
  <c r="C61" i="28" s="1"/>
  <c r="C48" i="28"/>
  <c r="L38" i="28"/>
  <c r="B49" i="32"/>
  <c r="K39" i="32"/>
  <c r="K49" i="32" s="1"/>
  <c r="B47" i="32"/>
  <c r="K47" i="32" s="1"/>
  <c r="D48" i="27"/>
  <c r="D46" i="27"/>
  <c r="M48" i="27"/>
  <c r="M46" i="27"/>
  <c r="C46" i="27"/>
  <c r="C61" i="27" s="1"/>
  <c r="C48" i="27"/>
  <c r="L48" i="27"/>
  <c r="L46" i="27"/>
  <c r="L61" i="27" s="1"/>
  <c r="K48" i="27"/>
  <c r="B46" i="27"/>
  <c r="K46" i="27" s="1"/>
  <c r="B48" i="27"/>
  <c r="K48" i="15"/>
  <c r="H59" i="15"/>
  <c r="H61" i="15" s="1"/>
  <c r="L28" i="15"/>
  <c r="L30" i="15" s="1"/>
  <c r="L59" i="15"/>
  <c r="L14" i="15"/>
  <c r="M14" i="15"/>
  <c r="L48" i="15"/>
  <c r="L46" i="15"/>
  <c r="M46" i="15"/>
  <c r="M48" i="15"/>
  <c r="L49" i="32" l="1"/>
  <c r="L47" i="32"/>
  <c r="L62" i="32" s="1"/>
  <c r="M49" i="32"/>
  <c r="M47" i="32"/>
  <c r="K48" i="31"/>
  <c r="M46" i="28"/>
  <c r="M48" i="28"/>
  <c r="L48" i="30"/>
  <c r="L46" i="30"/>
  <c r="L61" i="30" s="1"/>
  <c r="L46" i="28"/>
  <c r="L61" i="28" s="1"/>
  <c r="L48" i="28"/>
  <c r="M48" i="31"/>
  <c r="M46" i="31"/>
  <c r="L46" i="31"/>
  <c r="L61" i="31" s="1"/>
  <c r="L48" i="31"/>
  <c r="M48" i="30"/>
  <c r="M46" i="30"/>
  <c r="L61" i="15"/>
  <c r="L21" i="14"/>
  <c r="H24" i="14"/>
  <c r="C19" i="26" s="1"/>
  <c r="L19" i="26" l="1"/>
  <c r="D19" i="26"/>
  <c r="H23" i="14"/>
  <c r="G14" i="14"/>
  <c r="G12" i="14"/>
  <c r="P9" i="19" s="1"/>
  <c r="H7" i="14"/>
  <c r="H14" i="14" l="1"/>
  <c r="C7" i="26"/>
  <c r="H12" i="14"/>
  <c r="Q9" i="19" s="1"/>
  <c r="C18" i="26"/>
  <c r="L23" i="14"/>
  <c r="I7" i="14"/>
  <c r="D7" i="26" s="1"/>
  <c r="M7" i="26" l="1"/>
  <c r="D12" i="26"/>
  <c r="D11" i="26"/>
  <c r="L7" i="26"/>
  <c r="C12" i="26"/>
  <c r="C11" i="26"/>
  <c r="L18" i="26"/>
  <c r="D18" i="26"/>
  <c r="R9" i="19"/>
  <c r="Q16" i="19"/>
  <c r="H22" i="14"/>
  <c r="M12" i="26" l="1"/>
  <c r="M11" i="26"/>
  <c r="L11" i="26"/>
  <c r="L12" i="26"/>
  <c r="C17" i="26"/>
  <c r="L22" i="14"/>
  <c r="H44" i="14"/>
  <c r="L17" i="26" l="1"/>
  <c r="L23" i="26" s="1"/>
  <c r="L25" i="26" s="1"/>
  <c r="C23" i="26"/>
  <c r="D17" i="26"/>
  <c r="C28" i="14"/>
  <c r="D23" i="26" l="1"/>
  <c r="C25" i="26"/>
  <c r="D12" i="14"/>
  <c r="C12" i="14"/>
  <c r="B12" i="14"/>
  <c r="G59" i="14" l="1"/>
  <c r="C59" i="14"/>
  <c r="B59" i="14"/>
  <c r="L57" i="14"/>
  <c r="K56" i="14"/>
  <c r="H56" i="14"/>
  <c r="L56" i="14" s="1"/>
  <c r="K55" i="14"/>
  <c r="H55" i="14"/>
  <c r="L55" i="14" s="1"/>
  <c r="K54" i="14"/>
  <c r="H54" i="14"/>
  <c r="L54" i="14" s="1"/>
  <c r="K53" i="14"/>
  <c r="H53" i="14"/>
  <c r="L53" i="14" s="1"/>
  <c r="K52" i="14"/>
  <c r="H52" i="14"/>
  <c r="D48" i="14"/>
  <c r="C48" i="14"/>
  <c r="B48" i="14"/>
  <c r="D46" i="14"/>
  <c r="C46" i="14"/>
  <c r="B46" i="14"/>
  <c r="L44" i="14"/>
  <c r="G44" i="14"/>
  <c r="K44" i="14" s="1"/>
  <c r="F44" i="14"/>
  <c r="H43" i="14"/>
  <c r="L43" i="14" s="1"/>
  <c r="G43" i="14"/>
  <c r="K43" i="14" s="1"/>
  <c r="F43" i="14"/>
  <c r="I42" i="14"/>
  <c r="M42" i="14" s="1"/>
  <c r="H42" i="14"/>
  <c r="L42" i="14" s="1"/>
  <c r="G42" i="14"/>
  <c r="K42" i="14" s="1"/>
  <c r="F42" i="14"/>
  <c r="I41" i="14"/>
  <c r="M41" i="14" s="1"/>
  <c r="H41" i="14"/>
  <c r="L41" i="14" s="1"/>
  <c r="G41" i="14"/>
  <c r="K41" i="14" s="1"/>
  <c r="F41" i="14"/>
  <c r="I40" i="14"/>
  <c r="M40" i="14" s="1"/>
  <c r="H40" i="14"/>
  <c r="L40" i="14" s="1"/>
  <c r="G40" i="14"/>
  <c r="K40" i="14" s="1"/>
  <c r="F40" i="14"/>
  <c r="I39" i="14"/>
  <c r="M39" i="14" s="1"/>
  <c r="H39" i="14"/>
  <c r="L39" i="14" s="1"/>
  <c r="G39" i="14"/>
  <c r="K39" i="14" s="1"/>
  <c r="F39" i="14"/>
  <c r="I38" i="14"/>
  <c r="H38" i="14"/>
  <c r="G38" i="14"/>
  <c r="F38" i="14"/>
  <c r="H28" i="14"/>
  <c r="G28" i="14"/>
  <c r="B28" i="14"/>
  <c r="L26" i="14"/>
  <c r="K26" i="14"/>
  <c r="L25" i="14"/>
  <c r="K25" i="14"/>
  <c r="L24" i="14"/>
  <c r="K24" i="14"/>
  <c r="K23" i="14"/>
  <c r="K22" i="14"/>
  <c r="K21" i="14"/>
  <c r="D14" i="14"/>
  <c r="C14" i="14"/>
  <c r="B14" i="14"/>
  <c r="C30" i="14"/>
  <c r="M9" i="14"/>
  <c r="L9" i="14"/>
  <c r="K9" i="14"/>
  <c r="I44" i="14"/>
  <c r="M44" i="14" s="1"/>
  <c r="L8" i="14"/>
  <c r="K8" i="14"/>
  <c r="M8" i="14"/>
  <c r="M7" i="14"/>
  <c r="L7" i="14"/>
  <c r="K7" i="14"/>
  <c r="M6" i="14"/>
  <c r="L6" i="14"/>
  <c r="K6" i="14"/>
  <c r="M5" i="14"/>
  <c r="L5" i="14"/>
  <c r="K5" i="14"/>
  <c r="L4" i="14"/>
  <c r="K4" i="14"/>
  <c r="I14" i="14"/>
  <c r="M3" i="14"/>
  <c r="L3" i="14"/>
  <c r="K3" i="14"/>
  <c r="I9" i="13"/>
  <c r="I8" i="13"/>
  <c r="H37" i="13"/>
  <c r="H36" i="13"/>
  <c r="H14" i="13"/>
  <c r="G14" i="13"/>
  <c r="G12" i="13"/>
  <c r="P8" i="19" s="1"/>
  <c r="R8" i="19" s="1"/>
  <c r="H30" i="14" l="1"/>
  <c r="H59" i="14"/>
  <c r="K59" i="14"/>
  <c r="L28" i="14"/>
  <c r="C61" i="14"/>
  <c r="K28" i="14"/>
  <c r="H48" i="14"/>
  <c r="L12" i="14"/>
  <c r="K14" i="14"/>
  <c r="K12" i="14"/>
  <c r="G46" i="14"/>
  <c r="K46" i="14" s="1"/>
  <c r="L14" i="14"/>
  <c r="K38" i="14"/>
  <c r="K48" i="14" s="1"/>
  <c r="H46" i="14"/>
  <c r="G48" i="14"/>
  <c r="L52" i="14"/>
  <c r="L59" i="14" s="1"/>
  <c r="L38" i="14"/>
  <c r="M38" i="14"/>
  <c r="I43" i="14"/>
  <c r="M43" i="14" s="1"/>
  <c r="I12" i="14"/>
  <c r="M4" i="14"/>
  <c r="F33" i="13"/>
  <c r="F34" i="13"/>
  <c r="F35" i="13"/>
  <c r="F36" i="13"/>
  <c r="F37" i="13"/>
  <c r="F38" i="13"/>
  <c r="L51" i="13"/>
  <c r="C53" i="13"/>
  <c r="I48" i="14" l="1"/>
  <c r="L30" i="14"/>
  <c r="H61" i="14"/>
  <c r="I46" i="14"/>
  <c r="L48" i="14"/>
  <c r="L46" i="14"/>
  <c r="L61" i="14" s="1"/>
  <c r="M48" i="14"/>
  <c r="M46" i="14"/>
  <c r="M14" i="14"/>
  <c r="M12" i="14"/>
  <c r="I32" i="13"/>
  <c r="F32" i="13"/>
  <c r="I4" i="13"/>
  <c r="L19" i="13"/>
  <c r="L20" i="13"/>
  <c r="L21" i="13"/>
  <c r="L22" i="13"/>
  <c r="L23" i="13"/>
  <c r="L18" i="13"/>
  <c r="G53" i="13" l="1"/>
  <c r="B53" i="13"/>
  <c r="K50" i="13"/>
  <c r="L50" i="13"/>
  <c r="K49" i="13"/>
  <c r="K48" i="13"/>
  <c r="K47" i="13"/>
  <c r="K46" i="13"/>
  <c r="D42" i="13"/>
  <c r="C42" i="13"/>
  <c r="B42" i="13"/>
  <c r="D40" i="13"/>
  <c r="C40" i="13"/>
  <c r="B40" i="13"/>
  <c r="I38" i="13"/>
  <c r="M38" i="13" s="1"/>
  <c r="L38" i="13"/>
  <c r="G38" i="13"/>
  <c r="K38" i="13" s="1"/>
  <c r="L37" i="13"/>
  <c r="G37" i="13"/>
  <c r="K37" i="13" s="1"/>
  <c r="I36" i="13"/>
  <c r="M36" i="13" s="1"/>
  <c r="L36" i="13"/>
  <c r="G36" i="13"/>
  <c r="K36" i="13" s="1"/>
  <c r="I35" i="13"/>
  <c r="M35" i="13" s="1"/>
  <c r="H35" i="13"/>
  <c r="L35" i="13" s="1"/>
  <c r="G35" i="13"/>
  <c r="K35" i="13" s="1"/>
  <c r="I34" i="13"/>
  <c r="M34" i="13" s="1"/>
  <c r="H34" i="13"/>
  <c r="G34" i="13"/>
  <c r="K34" i="13" s="1"/>
  <c r="I33" i="13"/>
  <c r="M33" i="13" s="1"/>
  <c r="H33" i="13"/>
  <c r="L33" i="13" s="1"/>
  <c r="G33" i="13"/>
  <c r="K33" i="13" s="1"/>
  <c r="H32" i="13"/>
  <c r="G32" i="13"/>
  <c r="G25" i="13"/>
  <c r="B25" i="13"/>
  <c r="K23" i="13"/>
  <c r="K22" i="13"/>
  <c r="K21" i="13"/>
  <c r="K20" i="13"/>
  <c r="K19" i="13"/>
  <c r="K18" i="13"/>
  <c r="D14" i="13"/>
  <c r="C14" i="13"/>
  <c r="B14" i="13"/>
  <c r="D12" i="13"/>
  <c r="C12" i="13"/>
  <c r="C27" i="13" s="1"/>
  <c r="B12" i="13"/>
  <c r="M9" i="13"/>
  <c r="L9" i="13"/>
  <c r="K9" i="13"/>
  <c r="M8" i="13"/>
  <c r="L8" i="13"/>
  <c r="K8" i="13"/>
  <c r="I37" i="13"/>
  <c r="M37" i="13" s="1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H50" i="12"/>
  <c r="C42" i="12"/>
  <c r="I38" i="12"/>
  <c r="H38" i="12"/>
  <c r="H14" i="12"/>
  <c r="G12" i="12"/>
  <c r="P7" i="19" l="1"/>
  <c r="R7" i="19" s="1"/>
  <c r="H15" i="12"/>
  <c r="K53" i="13"/>
  <c r="L49" i="13"/>
  <c r="C55" i="13"/>
  <c r="G42" i="13"/>
  <c r="I42" i="13"/>
  <c r="K12" i="13"/>
  <c r="K25" i="13"/>
  <c r="H48" i="13"/>
  <c r="L48" i="13" s="1"/>
  <c r="L14" i="13"/>
  <c r="L34" i="13"/>
  <c r="M14" i="13"/>
  <c r="K14" i="13"/>
  <c r="H46" i="13"/>
  <c r="L46" i="13" s="1"/>
  <c r="H25" i="13"/>
  <c r="H27" i="13" s="1"/>
  <c r="I12" i="13"/>
  <c r="I14" i="13"/>
  <c r="K32" i="13"/>
  <c r="K42" i="13" s="1"/>
  <c r="L12" i="13"/>
  <c r="L32" i="13"/>
  <c r="G40" i="13"/>
  <c r="K40" i="13" s="1"/>
  <c r="M12" i="13"/>
  <c r="M32" i="13"/>
  <c r="H40" i="13"/>
  <c r="I40" i="13"/>
  <c r="H42" i="13"/>
  <c r="M40" i="13" l="1"/>
  <c r="M42" i="13"/>
  <c r="H47" i="13"/>
  <c r="L47" i="13" s="1"/>
  <c r="L25" i="13"/>
  <c r="L27" i="13" s="1"/>
  <c r="L42" i="13"/>
  <c r="L40" i="13"/>
  <c r="H53" i="13" l="1"/>
  <c r="H55" i="13" s="1"/>
  <c r="L53" i="13"/>
  <c r="L55" i="13" s="1"/>
  <c r="H23" i="12" l="1"/>
  <c r="H51" i="12" s="1"/>
  <c r="K47" i="12" l="1"/>
  <c r="K48" i="12"/>
  <c r="K49" i="12"/>
  <c r="K50" i="12"/>
  <c r="K51" i="12"/>
  <c r="K46" i="12"/>
  <c r="L51" i="12"/>
  <c r="L50" i="12"/>
  <c r="L23" i="12"/>
  <c r="K23" i="12"/>
  <c r="H21" i="12"/>
  <c r="H49" i="12" s="1"/>
  <c r="C49" i="12" l="1"/>
  <c r="L49" i="12" s="1"/>
  <c r="C48" i="12"/>
  <c r="C47" i="12"/>
  <c r="C46" i="12"/>
  <c r="I33" i="12" l="1"/>
  <c r="I34" i="12"/>
  <c r="I35" i="12"/>
  <c r="I36" i="12"/>
  <c r="H33" i="12"/>
  <c r="H19" i="12" s="1"/>
  <c r="H47" i="12" s="1"/>
  <c r="L47" i="12" s="1"/>
  <c r="H34" i="12"/>
  <c r="H20" i="12" s="1"/>
  <c r="H48" i="12" s="1"/>
  <c r="L48" i="12" s="1"/>
  <c r="H35" i="12"/>
  <c r="H36" i="12"/>
  <c r="G33" i="12"/>
  <c r="G34" i="12"/>
  <c r="G35" i="12"/>
  <c r="G36" i="12"/>
  <c r="G37" i="12"/>
  <c r="G38" i="12"/>
  <c r="I32" i="12"/>
  <c r="H32" i="12"/>
  <c r="H18" i="12" s="1"/>
  <c r="G32" i="12"/>
  <c r="H46" i="12" l="1"/>
  <c r="L46" i="12" s="1"/>
  <c r="H25" i="12"/>
  <c r="G40" i="12"/>
  <c r="I8" i="12"/>
  <c r="I37" i="12" l="1"/>
  <c r="M37" i="12" s="1"/>
  <c r="I12" i="12"/>
  <c r="I14" i="12"/>
  <c r="C40" i="12"/>
  <c r="G52" i="12"/>
  <c r="B52" i="12"/>
  <c r="H52" i="12"/>
  <c r="C52" i="12"/>
  <c r="G42" i="12"/>
  <c r="D42" i="12"/>
  <c r="B42" i="12"/>
  <c r="D40" i="12"/>
  <c r="B40" i="12"/>
  <c r="M38" i="12"/>
  <c r="L38" i="12"/>
  <c r="K38" i="12"/>
  <c r="L37" i="12"/>
  <c r="K37" i="12"/>
  <c r="K36" i="12"/>
  <c r="M36" i="12"/>
  <c r="H42" i="12"/>
  <c r="M35" i="12"/>
  <c r="L35" i="12"/>
  <c r="K35" i="12"/>
  <c r="M34" i="12"/>
  <c r="L34" i="12"/>
  <c r="K34" i="12"/>
  <c r="M33" i="12"/>
  <c r="L33" i="12"/>
  <c r="K33" i="12"/>
  <c r="M32" i="12"/>
  <c r="L32" i="12"/>
  <c r="K32" i="12"/>
  <c r="G25" i="12"/>
  <c r="B25" i="12"/>
  <c r="L22" i="12"/>
  <c r="K22" i="12"/>
  <c r="L21" i="12"/>
  <c r="K21" i="12"/>
  <c r="L20" i="12"/>
  <c r="K20" i="12"/>
  <c r="L19" i="12"/>
  <c r="K19" i="12"/>
  <c r="L18" i="12"/>
  <c r="K18" i="12"/>
  <c r="G14" i="12"/>
  <c r="D14" i="12"/>
  <c r="C14" i="12"/>
  <c r="B14" i="12"/>
  <c r="D12" i="12"/>
  <c r="C12" i="12"/>
  <c r="B12" i="12"/>
  <c r="M9" i="12"/>
  <c r="L9" i="12"/>
  <c r="K9" i="12"/>
  <c r="M8" i="12"/>
  <c r="L8" i="12"/>
  <c r="K8" i="12"/>
  <c r="M7" i="12"/>
  <c r="L7" i="12"/>
  <c r="K7" i="12"/>
  <c r="M6" i="12"/>
  <c r="L6" i="12"/>
  <c r="K6" i="12"/>
  <c r="M5" i="12"/>
  <c r="L5" i="12"/>
  <c r="K5" i="12"/>
  <c r="M4" i="12"/>
  <c r="L4" i="12"/>
  <c r="K4" i="12"/>
  <c r="M3" i="12"/>
  <c r="L3" i="12"/>
  <c r="K3" i="12"/>
  <c r="I36" i="11"/>
  <c r="I35" i="11"/>
  <c r="H36" i="11"/>
  <c r="H35" i="11"/>
  <c r="H19" i="11"/>
  <c r="H47" i="11"/>
  <c r="K12" i="12" l="1"/>
  <c r="K14" i="12"/>
  <c r="M12" i="12"/>
  <c r="K52" i="12"/>
  <c r="K40" i="12"/>
  <c r="K42" i="12"/>
  <c r="C27" i="12"/>
  <c r="K25" i="12"/>
  <c r="L25" i="12"/>
  <c r="M42" i="12"/>
  <c r="M14" i="12"/>
  <c r="L14" i="12"/>
  <c r="H40" i="12"/>
  <c r="H54" i="12" s="1"/>
  <c r="H27" i="12"/>
  <c r="L36" i="12"/>
  <c r="L40" i="12" s="1"/>
  <c r="L52" i="12"/>
  <c r="C54" i="12"/>
  <c r="I40" i="12"/>
  <c r="L12" i="12"/>
  <c r="I42" i="12"/>
  <c r="M40" i="12"/>
  <c r="C50" i="11"/>
  <c r="C49" i="11"/>
  <c r="C48" i="11"/>
  <c r="C47" i="11"/>
  <c r="C46" i="11"/>
  <c r="L42" i="12" l="1"/>
  <c r="L27" i="12"/>
  <c r="L54" i="12"/>
  <c r="M10" i="11"/>
  <c r="G52" i="11" l="1"/>
  <c r="C52" i="11"/>
  <c r="B52" i="11"/>
  <c r="L51" i="11"/>
  <c r="L50" i="11"/>
  <c r="K50" i="11"/>
  <c r="H52" i="11"/>
  <c r="L49" i="11"/>
  <c r="K49" i="11"/>
  <c r="L48" i="11"/>
  <c r="K48" i="11"/>
  <c r="L47" i="11"/>
  <c r="K47" i="11"/>
  <c r="L46" i="11"/>
  <c r="K46" i="11"/>
  <c r="I42" i="11"/>
  <c r="H42" i="11"/>
  <c r="G42" i="11"/>
  <c r="D42" i="11"/>
  <c r="C42" i="11"/>
  <c r="B42" i="11"/>
  <c r="I40" i="11"/>
  <c r="H40" i="11"/>
  <c r="G40" i="11"/>
  <c r="D40" i="11"/>
  <c r="C40" i="11"/>
  <c r="B40" i="11"/>
  <c r="K38" i="11"/>
  <c r="M37" i="11"/>
  <c r="L37" i="11"/>
  <c r="K37" i="11"/>
  <c r="M36" i="11"/>
  <c r="L36" i="11"/>
  <c r="K36" i="11"/>
  <c r="M35" i="11"/>
  <c r="L35" i="11"/>
  <c r="K35" i="11"/>
  <c r="M34" i="11"/>
  <c r="L34" i="11"/>
  <c r="K34" i="11"/>
  <c r="M33" i="11"/>
  <c r="L33" i="11"/>
  <c r="K33" i="11"/>
  <c r="M32" i="11"/>
  <c r="L32" i="11"/>
  <c r="K32" i="11"/>
  <c r="M31" i="11"/>
  <c r="L31" i="11"/>
  <c r="K31" i="11"/>
  <c r="H24" i="11"/>
  <c r="G24" i="11"/>
  <c r="C24" i="11"/>
  <c r="B24" i="11"/>
  <c r="L23" i="11"/>
  <c r="K22" i="11"/>
  <c r="L22" i="11"/>
  <c r="L21" i="11"/>
  <c r="K21" i="11"/>
  <c r="L20" i="11"/>
  <c r="K20" i="11"/>
  <c r="L19" i="11"/>
  <c r="K19" i="11"/>
  <c r="L18" i="11"/>
  <c r="K18" i="11"/>
  <c r="I14" i="11"/>
  <c r="H14" i="11"/>
  <c r="G14" i="11"/>
  <c r="D14" i="11"/>
  <c r="C14" i="11"/>
  <c r="B14" i="11"/>
  <c r="I12" i="11"/>
  <c r="G12" i="11"/>
  <c r="P6" i="19" s="1"/>
  <c r="D12" i="11"/>
  <c r="C12" i="11"/>
  <c r="B12" i="11"/>
  <c r="K10" i="11"/>
  <c r="M9" i="11"/>
  <c r="L9" i="11"/>
  <c r="K9" i="11"/>
  <c r="M8" i="11"/>
  <c r="L8" i="11"/>
  <c r="K8" i="11"/>
  <c r="M7" i="11"/>
  <c r="L7" i="11"/>
  <c r="K7" i="11"/>
  <c r="M6" i="11"/>
  <c r="L6" i="11"/>
  <c r="K6" i="11"/>
  <c r="M5" i="11"/>
  <c r="L5" i="11"/>
  <c r="K5" i="11"/>
  <c r="M4" i="11"/>
  <c r="L4" i="11"/>
  <c r="K4" i="11"/>
  <c r="M3" i="11"/>
  <c r="L3" i="11"/>
  <c r="K3" i="11"/>
  <c r="H50" i="10"/>
  <c r="K24" i="11" l="1"/>
  <c r="C26" i="11"/>
  <c r="R6" i="19"/>
  <c r="K52" i="11"/>
  <c r="C54" i="11"/>
  <c r="L52" i="11"/>
  <c r="K40" i="11"/>
  <c r="H54" i="11"/>
  <c r="M42" i="11"/>
  <c r="K42" i="11"/>
  <c r="L42" i="11"/>
  <c r="K12" i="11"/>
  <c r="H26" i="11"/>
  <c r="M14" i="11"/>
  <c r="K14" i="11"/>
  <c r="L12" i="11"/>
  <c r="L24" i="11"/>
  <c r="L14" i="11"/>
  <c r="L40" i="11"/>
  <c r="M12" i="11"/>
  <c r="M40" i="11"/>
  <c r="L54" i="11" l="1"/>
  <c r="L26" i="11"/>
  <c r="B52" i="10"/>
  <c r="C52" i="10"/>
  <c r="H52" i="10" l="1"/>
  <c r="G52" i="10"/>
  <c r="L51" i="10"/>
  <c r="L50" i="10"/>
  <c r="K50" i="10"/>
  <c r="L49" i="10"/>
  <c r="K49" i="10"/>
  <c r="L48" i="10"/>
  <c r="K48" i="10"/>
  <c r="L47" i="10"/>
  <c r="K47" i="10"/>
  <c r="L46" i="10"/>
  <c r="K46" i="10"/>
  <c r="I42" i="10"/>
  <c r="H42" i="10"/>
  <c r="G42" i="10"/>
  <c r="D42" i="10"/>
  <c r="C42" i="10"/>
  <c r="B42" i="10"/>
  <c r="H40" i="10"/>
  <c r="G40" i="10"/>
  <c r="D40" i="10"/>
  <c r="C40" i="10"/>
  <c r="B40" i="10"/>
  <c r="K38" i="10"/>
  <c r="M37" i="10"/>
  <c r="L37" i="10"/>
  <c r="K37" i="10"/>
  <c r="M36" i="10"/>
  <c r="L36" i="10"/>
  <c r="K36" i="10"/>
  <c r="M35" i="10"/>
  <c r="L35" i="10"/>
  <c r="K35" i="10"/>
  <c r="M34" i="10"/>
  <c r="L34" i="10"/>
  <c r="K34" i="10"/>
  <c r="M33" i="10"/>
  <c r="L33" i="10"/>
  <c r="K33" i="10"/>
  <c r="M32" i="10"/>
  <c r="L32" i="10"/>
  <c r="K32" i="10"/>
  <c r="L31" i="10"/>
  <c r="K31" i="10"/>
  <c r="I40" i="10"/>
  <c r="H54" i="10" l="1"/>
  <c r="K42" i="10"/>
  <c r="K40" i="10"/>
  <c r="L52" i="10"/>
  <c r="C54" i="10"/>
  <c r="K52" i="10"/>
  <c r="L40" i="10"/>
  <c r="L42" i="10"/>
  <c r="M31" i="10"/>
  <c r="C24" i="10"/>
  <c r="B24" i="10"/>
  <c r="L23" i="10"/>
  <c r="L22" i="10"/>
  <c r="K22" i="10"/>
  <c r="L21" i="10"/>
  <c r="K21" i="10"/>
  <c r="L20" i="10"/>
  <c r="K20" i="10"/>
  <c r="L19" i="10"/>
  <c r="K19" i="10"/>
  <c r="L18" i="10"/>
  <c r="K18" i="10"/>
  <c r="H14" i="10"/>
  <c r="G14" i="10"/>
  <c r="D14" i="10"/>
  <c r="C14" i="10"/>
  <c r="B14" i="10"/>
  <c r="G12" i="10"/>
  <c r="P5" i="19" s="1"/>
  <c r="R5" i="19" s="1"/>
  <c r="D12" i="10"/>
  <c r="C12" i="10"/>
  <c r="B12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L3" i="10"/>
  <c r="K3" i="10"/>
  <c r="M3" i="10"/>
  <c r="L54" i="10" l="1"/>
  <c r="M42" i="10"/>
  <c r="M40" i="10"/>
  <c r="H26" i="10"/>
  <c r="C26" i="10"/>
  <c r="K12" i="10"/>
  <c r="K24" i="10"/>
  <c r="K14" i="10"/>
  <c r="L24" i="10"/>
  <c r="L12" i="10"/>
  <c r="L14" i="10"/>
  <c r="M12" i="10"/>
  <c r="M14" i="10"/>
  <c r="I12" i="10"/>
  <c r="I14" i="10"/>
  <c r="I3" i="9"/>
  <c r="I12" i="9" s="1"/>
  <c r="L26" i="10" l="1"/>
  <c r="C24" i="9"/>
  <c r="B24" i="9"/>
  <c r="L23" i="9"/>
  <c r="L22" i="9"/>
  <c r="K22" i="9"/>
  <c r="L21" i="9"/>
  <c r="K21" i="9"/>
  <c r="L20" i="9"/>
  <c r="K20" i="9"/>
  <c r="L19" i="9"/>
  <c r="K19" i="9"/>
  <c r="L18" i="9"/>
  <c r="K18" i="9"/>
  <c r="I14" i="9"/>
  <c r="H14" i="9"/>
  <c r="G14" i="9"/>
  <c r="D14" i="9"/>
  <c r="C14" i="9"/>
  <c r="B14" i="9"/>
  <c r="G12" i="9"/>
  <c r="D12" i="9"/>
  <c r="C12" i="9"/>
  <c r="B12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3" i="9"/>
  <c r="L3" i="9"/>
  <c r="K3" i="9"/>
  <c r="H23" i="8"/>
  <c r="P4" i="19" l="1"/>
  <c r="R4" i="19" s="1"/>
  <c r="H15" i="9"/>
  <c r="K12" i="9"/>
  <c r="M14" i="9"/>
  <c r="K14" i="9"/>
  <c r="C26" i="9"/>
  <c r="K24" i="9"/>
  <c r="L14" i="9"/>
  <c r="L24" i="9"/>
  <c r="L12" i="9"/>
  <c r="M12" i="9"/>
  <c r="H26" i="9"/>
  <c r="L23" i="8"/>
  <c r="L26" i="9" l="1"/>
  <c r="H24" i="8"/>
  <c r="G24" i="8"/>
  <c r="C24" i="8"/>
  <c r="B24" i="8"/>
  <c r="L22" i="8"/>
  <c r="K22" i="8"/>
  <c r="L21" i="8"/>
  <c r="K21" i="8"/>
  <c r="L20" i="8"/>
  <c r="K20" i="8"/>
  <c r="L19" i="8"/>
  <c r="K19" i="8"/>
  <c r="L18" i="8"/>
  <c r="K18" i="8"/>
  <c r="G14" i="8"/>
  <c r="D14" i="8"/>
  <c r="C14" i="8"/>
  <c r="B14" i="8"/>
  <c r="G12" i="8"/>
  <c r="P3" i="19" s="1"/>
  <c r="D12" i="8"/>
  <c r="C12" i="8"/>
  <c r="B12" i="8"/>
  <c r="M10" i="8"/>
  <c r="L10" i="8"/>
  <c r="K10" i="8"/>
  <c r="M9" i="8"/>
  <c r="L9" i="8"/>
  <c r="K9" i="8"/>
  <c r="M8" i="8"/>
  <c r="L8" i="8"/>
  <c r="K8" i="8"/>
  <c r="I14" i="8"/>
  <c r="M7" i="8"/>
  <c r="L7" i="8"/>
  <c r="K7" i="8"/>
  <c r="M6" i="8"/>
  <c r="L6" i="8"/>
  <c r="K6" i="8"/>
  <c r="M5" i="8"/>
  <c r="L5" i="8"/>
  <c r="K5" i="8"/>
  <c r="M4" i="8"/>
  <c r="L4" i="8"/>
  <c r="K4" i="8"/>
  <c r="M3" i="8"/>
  <c r="L3" i="8"/>
  <c r="K3" i="8"/>
  <c r="R3" i="19" l="1"/>
  <c r="P16" i="19"/>
  <c r="R16" i="19" s="1"/>
  <c r="L24" i="8"/>
  <c r="C26" i="8"/>
  <c r="K24" i="8"/>
  <c r="M12" i="8"/>
  <c r="L14" i="8"/>
  <c r="K14" i="8"/>
  <c r="K12" i="8"/>
  <c r="L12" i="8"/>
  <c r="M14" i="8"/>
  <c r="H26" i="8"/>
  <c r="I12" i="8"/>
  <c r="H14" i="8"/>
  <c r="I10" i="7"/>
  <c r="L26" i="8" l="1"/>
  <c r="I9" i="7"/>
  <c r="I8" i="7" l="1"/>
  <c r="H4" i="7" l="1"/>
  <c r="H14" i="7" s="1"/>
  <c r="H21" i="6" l="1"/>
  <c r="L29" i="6" l="1"/>
  <c r="L34" i="6" s="1"/>
  <c r="I6" i="6" l="1"/>
  <c r="K10" i="7" l="1"/>
  <c r="L10" i="7"/>
  <c r="M10" i="7"/>
  <c r="H24" i="7" l="1"/>
  <c r="G24" i="7"/>
  <c r="C24" i="7"/>
  <c r="B24" i="7"/>
  <c r="L22" i="7"/>
  <c r="K22" i="7"/>
  <c r="L21" i="7"/>
  <c r="K21" i="7"/>
  <c r="L20" i="7"/>
  <c r="K20" i="7"/>
  <c r="L19" i="7"/>
  <c r="K19" i="7"/>
  <c r="L18" i="7"/>
  <c r="K18" i="7"/>
  <c r="I14" i="7"/>
  <c r="G14" i="7"/>
  <c r="D14" i="7"/>
  <c r="C14" i="7"/>
  <c r="B14" i="7"/>
  <c r="I12" i="7"/>
  <c r="H12" i="7"/>
  <c r="G12" i="7"/>
  <c r="D12" i="7"/>
  <c r="C12" i="7"/>
  <c r="B12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M3" i="7"/>
  <c r="L3" i="7"/>
  <c r="K3" i="7"/>
  <c r="K24" i="7" l="1"/>
  <c r="H26" i="7"/>
  <c r="K14" i="7"/>
  <c r="K12" i="7"/>
  <c r="M14" i="7"/>
  <c r="L24" i="7"/>
  <c r="C26" i="7"/>
  <c r="L14" i="7"/>
  <c r="L12" i="7"/>
  <c r="M12" i="7"/>
  <c r="M4" i="6"/>
  <c r="M5" i="6"/>
  <c r="M6" i="6"/>
  <c r="M7" i="6"/>
  <c r="M8" i="6"/>
  <c r="M9" i="6"/>
  <c r="M3" i="6"/>
  <c r="I12" i="6"/>
  <c r="I11" i="6"/>
  <c r="I13" i="6"/>
  <c r="M11" i="6" l="1"/>
  <c r="L26" i="7"/>
  <c r="M13" i="6"/>
  <c r="D13" i="6" l="1"/>
  <c r="D11" i="6"/>
  <c r="G23" i="6" l="1"/>
  <c r="C23" i="6"/>
  <c r="B23" i="6"/>
  <c r="L21" i="6"/>
  <c r="K21" i="6"/>
  <c r="K20" i="6"/>
  <c r="H23" i="6"/>
  <c r="L19" i="6"/>
  <c r="K19" i="6"/>
  <c r="L18" i="6"/>
  <c r="K18" i="6"/>
  <c r="L17" i="6"/>
  <c r="K17" i="6"/>
  <c r="H13" i="6"/>
  <c r="G13" i="6"/>
  <c r="C13" i="6"/>
  <c r="B13" i="6"/>
  <c r="H11" i="6"/>
  <c r="G11" i="6"/>
  <c r="C11" i="6"/>
  <c r="B11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K23" i="6" l="1"/>
  <c r="K11" i="6"/>
  <c r="K13" i="6"/>
  <c r="C25" i="6"/>
  <c r="H25" i="6"/>
  <c r="L11" i="6"/>
  <c r="L13" i="6"/>
  <c r="L20" i="6"/>
  <c r="L23" i="6" s="1"/>
  <c r="L25" i="6" l="1"/>
  <c r="I10" i="5" l="1"/>
  <c r="H10" i="5"/>
  <c r="G20" i="5"/>
  <c r="G19" i="5"/>
  <c r="G18" i="5" l="1"/>
  <c r="G23" i="5" l="1"/>
  <c r="F23" i="5"/>
  <c r="C23" i="5"/>
  <c r="B23" i="5"/>
  <c r="I21" i="5"/>
  <c r="H21" i="5"/>
  <c r="I20" i="5"/>
  <c r="H20" i="5"/>
  <c r="I19" i="5"/>
  <c r="H19" i="5"/>
  <c r="I18" i="5"/>
  <c r="H18" i="5"/>
  <c r="I17" i="5"/>
  <c r="H17" i="5"/>
  <c r="G13" i="5"/>
  <c r="F13" i="5"/>
  <c r="C13" i="5"/>
  <c r="B13" i="5"/>
  <c r="G11" i="5"/>
  <c r="F11" i="5"/>
  <c r="C11" i="5"/>
  <c r="B11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G25" i="5" l="1"/>
  <c r="H11" i="5"/>
  <c r="H13" i="5"/>
  <c r="I23" i="5"/>
  <c r="C25" i="5"/>
  <c r="I13" i="5"/>
  <c r="I11" i="5"/>
  <c r="I25" i="5" l="1"/>
  <c r="G24" i="4"/>
  <c r="F24" i="4"/>
  <c r="C24" i="4"/>
  <c r="B24" i="4"/>
  <c r="I21" i="4"/>
  <c r="H21" i="4"/>
  <c r="I20" i="4"/>
  <c r="H20" i="4"/>
  <c r="I19" i="4"/>
  <c r="H19" i="4"/>
  <c r="I18" i="4"/>
  <c r="H18" i="4"/>
  <c r="I17" i="4"/>
  <c r="H17" i="4"/>
  <c r="G13" i="4"/>
  <c r="F13" i="4"/>
  <c r="C13" i="4"/>
  <c r="B13" i="4"/>
  <c r="G11" i="4"/>
  <c r="F11" i="4"/>
  <c r="C11" i="4"/>
  <c r="B11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G24" i="2"/>
  <c r="H13" i="4" l="1"/>
  <c r="G26" i="4"/>
  <c r="I24" i="4"/>
  <c r="C26" i="4"/>
  <c r="H11" i="4"/>
  <c r="I11" i="4"/>
  <c r="I13" i="4"/>
  <c r="I26" i="4" l="1"/>
  <c r="G24" i="3" l="1"/>
  <c r="F24" i="3"/>
  <c r="C24" i="3"/>
  <c r="B24" i="3"/>
  <c r="I21" i="3"/>
  <c r="H21" i="3"/>
  <c r="I20" i="3"/>
  <c r="H20" i="3"/>
  <c r="I19" i="3"/>
  <c r="H19" i="3"/>
  <c r="H18" i="3"/>
  <c r="I18" i="3"/>
  <c r="I17" i="3"/>
  <c r="H17" i="3"/>
  <c r="G13" i="3"/>
  <c r="F13" i="3"/>
  <c r="C13" i="3"/>
  <c r="B13" i="3"/>
  <c r="G11" i="3"/>
  <c r="F11" i="3"/>
  <c r="C11" i="3"/>
  <c r="B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C26" i="3" l="1"/>
  <c r="H11" i="3"/>
  <c r="H13" i="3"/>
  <c r="I13" i="3"/>
  <c r="I11" i="3"/>
  <c r="G26" i="3"/>
  <c r="I24" i="3"/>
  <c r="F13" i="2"/>
  <c r="G13" i="2"/>
  <c r="C13" i="2"/>
  <c r="B13" i="2"/>
  <c r="H4" i="2"/>
  <c r="H5" i="2"/>
  <c r="H6" i="2"/>
  <c r="H7" i="2"/>
  <c r="H8" i="2"/>
  <c r="H9" i="2"/>
  <c r="H10" i="2"/>
  <c r="H3" i="2"/>
  <c r="I26" i="3" l="1"/>
  <c r="H13" i="2"/>
  <c r="H18" i="2" l="1"/>
  <c r="H19" i="2"/>
  <c r="H20" i="2"/>
  <c r="H21" i="2"/>
  <c r="H22" i="2"/>
  <c r="H17" i="2"/>
  <c r="I18" i="2"/>
  <c r="I19" i="2"/>
  <c r="I20" i="2"/>
  <c r="I21" i="2"/>
  <c r="I22" i="2"/>
  <c r="I17" i="2"/>
  <c r="I24" i="2" l="1"/>
  <c r="F24" i="2" l="1"/>
  <c r="C24" i="2"/>
  <c r="B24" i="2"/>
  <c r="I6" i="2" l="1"/>
  <c r="I7" i="2"/>
  <c r="I8" i="2"/>
  <c r="I9" i="2"/>
  <c r="I10" i="2"/>
  <c r="I5" i="2"/>
  <c r="I4" i="2"/>
  <c r="I3" i="2"/>
  <c r="I13" i="2" l="1"/>
  <c r="I11" i="2"/>
  <c r="I26" i="2" s="1"/>
  <c r="G11" i="2" l="1"/>
  <c r="G26" i="2" s="1"/>
  <c r="F11" i="2"/>
  <c r="B11" i="2"/>
  <c r="C11" i="2"/>
  <c r="C26" i="2" s="1"/>
  <c r="H11" i="2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tc={1AA8C6D2-21CF-4952-BE8E-D68F68008F38}</author>
  </authors>
  <commentList>
    <comment ref="H3" authorId="0" shapeId="0" xr:uid="{1AA8C6D2-21CF-4952-BE8E-D68F6800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 sales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tc={6D101179-8E64-4984-9A6D-BEE9099C722F}</author>
    <author>tc={71BCCE1D-3898-4D11-BE03-7BA169E68452}</author>
  </authors>
  <commentList>
    <comment ref="C3" authorId="0" shapeId="0" xr:uid="{6D101179-8E64-4984-9A6D-BEE9099C722F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 sales</t>
      </text>
    </comment>
    <comment ref="H3" authorId="1" shapeId="0" xr:uid="{71BCCE1D-3898-4D11-BE03-7BA169E68452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 sales</t>
      </text>
    </comment>
  </commentList>
</comments>
</file>

<file path=xl/sharedStrings.xml><?xml version="1.0" encoding="utf-8"?>
<sst xmlns="http://schemas.openxmlformats.org/spreadsheetml/2006/main" count="2178" uniqueCount="90">
  <si>
    <t>Handle Comparison - Year over Year</t>
  </si>
  <si>
    <t>Reporting Date Range: Saturday, June 20, 2020 and Friday, July 17, 2020</t>
  </si>
  <si>
    <t>Community: SVREL</t>
  </si>
  <si>
    <t>Program Name</t>
  </si>
  <si>
    <t>Current Year Handle</t>
  </si>
  <si>
    <t>Prior Year Handle</t>
  </si>
  <si>
    <t>Current Year H/(L)</t>
  </si>
  <si>
    <t>Ballinrobe Ireland</t>
  </si>
  <si>
    <t>Bellewstown Ireland</t>
  </si>
  <si>
    <t>Belmont Park J</t>
  </si>
  <si>
    <t>Caymanas</t>
  </si>
  <si>
    <t>Charles Town J</t>
  </si>
  <si>
    <t>Cork Ireland</t>
  </si>
  <si>
    <t>Curragh Ireland</t>
  </si>
  <si>
    <t>Del Mar J</t>
  </si>
  <si>
    <t>Delaware Park J</t>
  </si>
  <si>
    <t>Down Patrick</t>
  </si>
  <si>
    <t>Evangeline Downs J</t>
  </si>
  <si>
    <t>Fairyhouse Ireland</t>
  </si>
  <si>
    <t>Finger Lakes J</t>
  </si>
  <si>
    <t>Gulfstream Park J</t>
  </si>
  <si>
    <t>Killarney Ireland</t>
  </si>
  <si>
    <t>Laurel Park J</t>
  </si>
  <si>
    <t>Limmerick TB Ireland</t>
  </si>
  <si>
    <t>Los Alamitos J</t>
  </si>
  <si>
    <t>Mountaineer Park J</t>
  </si>
  <si>
    <t>Naas Ireland</t>
  </si>
  <si>
    <t>Navan Ireland</t>
  </si>
  <si>
    <t>Parx Racing J</t>
  </si>
  <si>
    <t>Penn National J</t>
  </si>
  <si>
    <t>Roscommon Ireland</t>
  </si>
  <si>
    <t>Santa Anita J</t>
  </si>
  <si>
    <t>Saratoga J</t>
  </si>
  <si>
    <t>Sligo Ireland</t>
  </si>
  <si>
    <t>Tampa Bay_J</t>
  </si>
  <si>
    <t>Thistledown J</t>
  </si>
  <si>
    <t>Tipperary Ireland</t>
  </si>
  <si>
    <t>UK Ayr</t>
  </si>
  <si>
    <t>UK Beverley</t>
  </si>
  <si>
    <t>UK Carlisle</t>
  </si>
  <si>
    <t>UK Cartmel</t>
  </si>
  <si>
    <t>UK Catterick Bridge</t>
  </si>
  <si>
    <t>UK Chelmsford City</t>
  </si>
  <si>
    <t>UK Epsom</t>
  </si>
  <si>
    <t>UK Hamilton</t>
  </si>
  <si>
    <t>UK Haydock Park</t>
  </si>
  <si>
    <t>UK Kempton Park</t>
  </si>
  <si>
    <t>UK Leicester</t>
  </si>
  <si>
    <t>UK Market Rasen</t>
  </si>
  <si>
    <t>UK Musselburgh</t>
  </si>
  <si>
    <t>UK Newbury</t>
  </si>
  <si>
    <t>UK NewMarket</t>
  </si>
  <si>
    <t>UK Nottingham</t>
  </si>
  <si>
    <t>UK Perth</t>
  </si>
  <si>
    <t>UK Pontefract</t>
  </si>
  <si>
    <t>UK Redcar</t>
  </si>
  <si>
    <t>UK Salisbury</t>
  </si>
  <si>
    <t>UK Sandown Park</t>
  </si>
  <si>
    <t>UK Stratford</t>
  </si>
  <si>
    <t>UK Thirsk</t>
  </si>
  <si>
    <t>UK York</t>
  </si>
  <si>
    <t>Woodbine J</t>
  </si>
  <si>
    <t>Total</t>
  </si>
  <si>
    <t>DATE</t>
  </si>
  <si>
    <t># OF RACES</t>
  </si>
  <si>
    <t>SALES</t>
  </si>
  <si>
    <t>TOTAL</t>
  </si>
  <si>
    <t>GRAND TOTAL</t>
  </si>
  <si>
    <t>DIFFERENCE</t>
  </si>
  <si>
    <t>DAYS</t>
  </si>
  <si>
    <t>WEEK ENDING</t>
  </si>
  <si>
    <t xml:space="preserve">SIMULCAST </t>
  </si>
  <si>
    <t>AVERAGE</t>
  </si>
  <si>
    <t>LOCAL</t>
  </si>
  <si>
    <t>PURSE</t>
  </si>
  <si>
    <t>SPONSORSHIP</t>
  </si>
  <si>
    <t>SALES DIFFERENCE</t>
  </si>
  <si>
    <t>PURSE DIFFERENCE</t>
  </si>
  <si>
    <t>RACE DIFF</t>
  </si>
  <si>
    <t>Average per race</t>
  </si>
  <si>
    <t>average per day</t>
  </si>
  <si>
    <t>AVG.</t>
  </si>
  <si>
    <t>abondoned</t>
  </si>
  <si>
    <t>January</t>
  </si>
  <si>
    <t>February</t>
  </si>
  <si>
    <t>March</t>
  </si>
  <si>
    <t>April</t>
  </si>
  <si>
    <t>SIMULCAST</t>
  </si>
  <si>
    <t>race 1 was abondoned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</si>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</sst>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2009]dddd\,\ mmmm\ dd\,\ yyyy;@"/>
    <numFmt numFmtId="165" formatCode="&quot;$&quot;#,##0"/>
    <numFmt numFmtId="166" formatCode="&quot;$&quot;#,##0.00"/>
    <numFmt numFmtId="167" formatCode="#,##0_ ;\-#,##0\ 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ck">
        <color theme="4" tint="0.499984740745262"/>
      </bottom>
      <diagonal/>
    </border>
    <border>
      <left style="thin">
        <color auto="1"/>
      </left>
      <right style="thin">
        <color theme="1"/>
      </right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double">
        <color theme="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4" tint="0.499984740745262"/>
      </bottom>
      <diagonal/>
    </border>
    <border>
      <left style="thin">
        <color theme="1"/>
      </left>
      <right style="thin">
        <color theme="1"/>
      </right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1"/>
      </left>
      <right style="thin">
        <color theme="1"/>
      </right>
      <top style="medium">
        <color theme="4" tint="0.39997558519241921"/>
      </top>
      <bottom/>
      <diagonal/>
    </border>
    <border>
      <left style="thin">
        <color theme="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44" fontId="6" fillId="0" borderId="0" applyFont="0" applyFill="0" applyBorder="0" applyAlignment="0" applyProtection="0"/>
    <xf numFmtId="0" fontId="7" fillId="0" borderId="3" applyNumberFormat="0" applyFill="0" applyAlignment="0" applyProtection="0"/>
    <xf numFmtId="0" fontId="13" fillId="7" borderId="25" applyNumberFormat="0" applyAlignment="0" applyProtection="0"/>
    <xf numFmtId="9" fontId="6" fillId="0" borderId="0" applyFont="0" applyFill="0" applyBorder="0" applyAlignment="0" applyProtection="0"/>
  </cellStyleXfs>
  <cellXfs count="150">
    <xf numFmtId="0" fontId="0" fillId="0" borderId="0" xfId="0"/>
    <xf numFmtId="4" fontId="0" fillId="0" borderId="0" xfId="0" applyNumberFormat="1"/>
    <xf numFmtId="0" fontId="4" fillId="0" borderId="1" xfId="2" applyFont="1"/>
    <xf numFmtId="0" fontId="5" fillId="0" borderId="0" xfId="1" applyFont="1"/>
    <xf numFmtId="0" fontId="3" fillId="0" borderId="2" xfId="3"/>
    <xf numFmtId="4" fontId="3" fillId="0" borderId="2" xfId="3" applyNumberFormat="1"/>
    <xf numFmtId="0" fontId="0" fillId="0" borderId="0" xfId="0" applyAlignment="1">
      <alignment wrapText="1"/>
    </xf>
    <xf numFmtId="0" fontId="7" fillId="2" borderId="4" xfId="5" applyFill="1" applyBorder="1" applyAlignment="1">
      <alignment wrapText="1"/>
    </xf>
    <xf numFmtId="0" fontId="7" fillId="2" borderId="5" xfId="5" applyFill="1" applyBorder="1" applyAlignment="1">
      <alignment wrapText="1"/>
    </xf>
    <xf numFmtId="0" fontId="7" fillId="2" borderId="6" xfId="5" applyFill="1" applyBorder="1" applyAlignment="1">
      <alignment wrapText="1"/>
    </xf>
    <xf numFmtId="164" fontId="0" fillId="2" borderId="7" xfId="0" applyNumberFormat="1" applyFill="1" applyBorder="1"/>
    <xf numFmtId="0" fontId="0" fillId="2" borderId="0" xfId="0" applyFill="1"/>
    <xf numFmtId="44" fontId="0" fillId="2" borderId="8" xfId="4" applyFont="1" applyFill="1" applyBorder="1"/>
    <xf numFmtId="0" fontId="0" fillId="2" borderId="7" xfId="0" applyFill="1" applyBorder="1"/>
    <xf numFmtId="0" fontId="3" fillId="2" borderId="2" xfId="3" applyFill="1"/>
    <xf numFmtId="44" fontId="3" fillId="2" borderId="9" xfId="3" applyNumberFormat="1" applyFill="1" applyBorder="1"/>
    <xf numFmtId="0" fontId="0" fillId="0" borderId="7" xfId="0" applyBorder="1"/>
    <xf numFmtId="0" fontId="0" fillId="0" borderId="8" xfId="0" applyBorder="1"/>
    <xf numFmtId="0" fontId="7" fillId="2" borderId="10" xfId="5" applyFill="1" applyBorder="1" applyAlignment="1">
      <alignment wrapText="1"/>
    </xf>
    <xf numFmtId="44" fontId="0" fillId="2" borderId="11" xfId="0" applyNumberFormat="1" applyFill="1" applyBorder="1"/>
    <xf numFmtId="44" fontId="3" fillId="2" borderId="12" xfId="3" applyNumberFormat="1" applyFill="1" applyBorder="1"/>
    <xf numFmtId="0" fontId="0" fillId="0" borderId="11" xfId="0" applyBorder="1"/>
    <xf numFmtId="44" fontId="0" fillId="0" borderId="0" xfId="4" applyFont="1"/>
    <xf numFmtId="164" fontId="0" fillId="0" borderId="0" xfId="0" applyNumberFormat="1"/>
    <xf numFmtId="44" fontId="3" fillId="0" borderId="2" xfId="3" applyNumberFormat="1"/>
    <xf numFmtId="0" fontId="2" fillId="0" borderId="1" xfId="2"/>
    <xf numFmtId="44" fontId="0" fillId="0" borderId="0" xfId="0" applyNumberFormat="1"/>
    <xf numFmtId="0" fontId="2" fillId="0" borderId="1" xfId="2" applyFill="1"/>
    <xf numFmtId="0" fontId="3" fillId="3" borderId="2" xfId="3" applyFill="1"/>
    <xf numFmtId="44" fontId="3" fillId="3" borderId="2" xfId="3" applyNumberFormat="1" applyFill="1"/>
    <xf numFmtId="0" fontId="0" fillId="4" borderId="0" xfId="0" applyFill="1"/>
    <xf numFmtId="2" fontId="0" fillId="4" borderId="0" xfId="0" applyNumberFormat="1" applyFill="1"/>
    <xf numFmtId="44" fontId="0" fillId="4" borderId="0" xfId="4" applyFont="1" applyFill="1" applyBorder="1"/>
    <xf numFmtId="0" fontId="3" fillId="5" borderId="0" xfId="0" applyFont="1" applyFill="1"/>
    <xf numFmtId="0" fontId="9" fillId="5" borderId="0" xfId="0" applyFont="1" applyFill="1"/>
    <xf numFmtId="0" fontId="10" fillId="0" borderId="0" xfId="0" applyFont="1"/>
    <xf numFmtId="0" fontId="10" fillId="0" borderId="0" xfId="0" applyFont="1" applyAlignment="1">
      <alignment wrapText="1"/>
    </xf>
    <xf numFmtId="0" fontId="11" fillId="2" borderId="10" xfId="5" applyFont="1" applyFill="1" applyBorder="1" applyAlignment="1">
      <alignment wrapText="1"/>
    </xf>
    <xf numFmtId="44" fontId="10" fillId="2" borderId="11" xfId="0" applyNumberFormat="1" applyFont="1" applyFill="1" applyBorder="1"/>
    <xf numFmtId="44" fontId="9" fillId="2" borderId="12" xfId="3" applyNumberFormat="1" applyFont="1" applyFill="1" applyBorder="1"/>
    <xf numFmtId="44" fontId="9" fillId="2" borderId="11" xfId="3" applyNumberFormat="1" applyFont="1" applyFill="1" applyBorder="1"/>
    <xf numFmtId="0" fontId="9" fillId="3" borderId="2" xfId="3" applyFont="1" applyFill="1"/>
    <xf numFmtId="44" fontId="10" fillId="2" borderId="13" xfId="0" applyNumberFormat="1" applyFont="1" applyFill="1" applyBorder="1"/>
    <xf numFmtId="44" fontId="10" fillId="2" borderId="14" xfId="0" applyNumberFormat="1" applyFont="1" applyFill="1" applyBorder="1"/>
    <xf numFmtId="0" fontId="7" fillId="6" borderId="0" xfId="5" applyFill="1" applyBorder="1" applyAlignment="1">
      <alignment wrapText="1"/>
    </xf>
    <xf numFmtId="44" fontId="10" fillId="6" borderId="0" xfId="0" applyNumberFormat="1" applyFont="1" applyFill="1"/>
    <xf numFmtId="44" fontId="9" fillId="6" borderId="0" xfId="3" applyNumberFormat="1" applyFont="1" applyFill="1" applyBorder="1"/>
    <xf numFmtId="0" fontId="10" fillId="6" borderId="0" xfId="0" applyFont="1" applyFill="1"/>
    <xf numFmtId="44" fontId="10" fillId="6" borderId="0" xfId="4" applyFont="1" applyFill="1" applyBorder="1"/>
    <xf numFmtId="0" fontId="10" fillId="2" borderId="11" xfId="0" applyFont="1" applyFill="1" applyBorder="1"/>
    <xf numFmtId="164" fontId="10" fillId="2" borderId="11" xfId="0" applyNumberFormat="1" applyFont="1" applyFill="1" applyBorder="1"/>
    <xf numFmtId="44" fontId="10" fillId="2" borderId="11" xfId="4" applyFont="1" applyFill="1" applyBorder="1"/>
    <xf numFmtId="0" fontId="9" fillId="2" borderId="12" xfId="3" applyFont="1" applyFill="1" applyBorder="1"/>
    <xf numFmtId="0" fontId="11" fillId="2" borderId="15" xfId="5" applyFont="1" applyFill="1" applyBorder="1" applyAlignment="1">
      <alignment wrapText="1"/>
    </xf>
    <xf numFmtId="44" fontId="9" fillId="2" borderId="16" xfId="3" applyNumberFormat="1" applyFont="1" applyFill="1" applyBorder="1"/>
    <xf numFmtId="0" fontId="9" fillId="2" borderId="11" xfId="3" applyFont="1" applyFill="1" applyBorder="1"/>
    <xf numFmtId="0" fontId="9" fillId="2" borderId="17" xfId="3" applyFont="1" applyFill="1" applyBorder="1"/>
    <xf numFmtId="44" fontId="9" fillId="2" borderId="17" xfId="3" applyNumberFormat="1" applyFont="1" applyFill="1" applyBorder="1"/>
    <xf numFmtId="0" fontId="10" fillId="2" borderId="17" xfId="0" applyFont="1" applyFill="1" applyBorder="1"/>
    <xf numFmtId="0" fontId="10" fillId="4" borderId="19" xfId="0" applyFont="1" applyFill="1" applyBorder="1"/>
    <xf numFmtId="2" fontId="10" fillId="4" borderId="19" xfId="0" applyNumberFormat="1" applyFont="1" applyFill="1" applyBorder="1"/>
    <xf numFmtId="44" fontId="10" fillId="4" borderId="19" xfId="4" applyFont="1" applyFill="1" applyBorder="1"/>
    <xf numFmtId="2" fontId="10" fillId="4" borderId="20" xfId="0" applyNumberFormat="1" applyFont="1" applyFill="1" applyBorder="1"/>
    <xf numFmtId="44" fontId="10" fillId="4" borderId="20" xfId="4" applyFont="1" applyFill="1" applyBorder="1"/>
    <xf numFmtId="0" fontId="2" fillId="2" borderId="21" xfId="2" applyFill="1" applyBorder="1" applyAlignment="1">
      <alignment wrapText="1"/>
    </xf>
    <xf numFmtId="0" fontId="10" fillId="4" borderId="20" xfId="0" applyFont="1" applyFill="1" applyBorder="1"/>
    <xf numFmtId="0" fontId="2" fillId="2" borderId="22" xfId="2" applyFill="1" applyBorder="1" applyAlignment="1">
      <alignment wrapText="1"/>
    </xf>
    <xf numFmtId="0" fontId="11" fillId="2" borderId="23" xfId="5" applyFont="1" applyFill="1" applyBorder="1" applyAlignment="1">
      <alignment wrapText="1"/>
    </xf>
    <xf numFmtId="0" fontId="10" fillId="0" borderId="18" xfId="0" applyFont="1" applyBorder="1"/>
    <xf numFmtId="44" fontId="10" fillId="0" borderId="18" xfId="0" applyNumberFormat="1" applyFont="1" applyBorder="1"/>
    <xf numFmtId="44" fontId="9" fillId="0" borderId="24" xfId="3" applyNumberFormat="1" applyFont="1" applyBorder="1"/>
    <xf numFmtId="0" fontId="9" fillId="3" borderId="24" xfId="3" applyFont="1" applyFill="1" applyBorder="1"/>
    <xf numFmtId="44" fontId="9" fillId="3" borderId="24" xfId="3" applyNumberFormat="1" applyFont="1" applyFill="1" applyBorder="1"/>
    <xf numFmtId="164" fontId="10" fillId="0" borderId="18" xfId="0" applyNumberFormat="1" applyFont="1" applyBorder="1"/>
    <xf numFmtId="44" fontId="10" fillId="0" borderId="18" xfId="4" applyFont="1" applyBorder="1"/>
    <xf numFmtId="0" fontId="9" fillId="0" borderId="24" xfId="3" applyFont="1" applyBorder="1"/>
    <xf numFmtId="0" fontId="11" fillId="2" borderId="22" xfId="2" applyFont="1" applyFill="1" applyBorder="1"/>
    <xf numFmtId="0" fontId="11" fillId="6" borderId="0" xfId="2" applyFont="1" applyFill="1" applyBorder="1"/>
    <xf numFmtId="44" fontId="10" fillId="0" borderId="0" xfId="0" applyNumberFormat="1" applyFont="1"/>
    <xf numFmtId="4" fontId="12" fillId="2" borderId="13" xfId="0" applyNumberFormat="1" applyFont="1" applyFill="1" applyBorder="1"/>
    <xf numFmtId="4" fontId="12" fillId="2" borderId="11" xfId="0" applyNumberFormat="1" applyFont="1" applyFill="1" applyBorder="1"/>
    <xf numFmtId="4" fontId="12" fillId="2" borderId="11" xfId="4" applyNumberFormat="1" applyFont="1" applyFill="1" applyBorder="1" applyAlignment="1" applyProtection="1">
      <alignment vertical="top" wrapText="1"/>
    </xf>
    <xf numFmtId="44" fontId="13" fillId="0" borderId="26" xfId="6" applyNumberFormat="1" applyFill="1" applyBorder="1"/>
    <xf numFmtId="0" fontId="10" fillId="4" borderId="0" xfId="0" applyFont="1" applyFill="1"/>
    <xf numFmtId="2" fontId="10" fillId="4" borderId="0" xfId="0" applyNumberFormat="1" applyFont="1" applyFill="1"/>
    <xf numFmtId="44" fontId="10" fillId="4" borderId="0" xfId="4" applyFont="1" applyFill="1" applyBorder="1"/>
    <xf numFmtId="4" fontId="10" fillId="0" borderId="0" xfId="0" applyNumberFormat="1" applyFont="1"/>
    <xf numFmtId="4" fontId="10" fillId="0" borderId="18" xfId="4" applyNumberFormat="1" applyFont="1" applyBorder="1"/>
    <xf numFmtId="4" fontId="9" fillId="0" borderId="24" xfId="3" applyNumberFormat="1" applyFont="1" applyBorder="1"/>
    <xf numFmtId="164" fontId="0" fillId="2" borderId="13" xfId="0" applyNumberFormat="1" applyFill="1" applyBorder="1"/>
    <xf numFmtId="0" fontId="0" fillId="2" borderId="13" xfId="0" applyFill="1" applyBorder="1"/>
    <xf numFmtId="44" fontId="0" fillId="2" borderId="13" xfId="4" applyFont="1" applyFill="1" applyBorder="1"/>
    <xf numFmtId="164" fontId="0" fillId="2" borderId="11" xfId="0" applyNumberFormat="1" applyFill="1" applyBorder="1"/>
    <xf numFmtId="0" fontId="0" fillId="2" borderId="11" xfId="0" applyFill="1" applyBorder="1"/>
    <xf numFmtId="44" fontId="0" fillId="2" borderId="11" xfId="4" applyFont="1" applyFill="1" applyBorder="1"/>
    <xf numFmtId="0" fontId="0" fillId="0" borderId="27" xfId="0" applyBorder="1"/>
    <xf numFmtId="0" fontId="0" fillId="0" borderId="18" xfId="0" applyBorder="1"/>
    <xf numFmtId="4" fontId="14" fillId="2" borderId="13" xfId="0" applyNumberFormat="1" applyFont="1" applyFill="1" applyBorder="1"/>
    <xf numFmtId="4" fontId="14" fillId="2" borderId="11" xfId="0" applyNumberFormat="1" applyFont="1" applyFill="1" applyBorder="1"/>
    <xf numFmtId="4" fontId="14" fillId="2" borderId="11" xfId="4" applyNumberFormat="1" applyFont="1" applyFill="1" applyBorder="1" applyAlignment="1" applyProtection="1">
      <alignment wrapText="1"/>
    </xf>
    <xf numFmtId="44" fontId="13" fillId="0" borderId="26" xfId="6" applyNumberFormat="1" applyFill="1" applyBorder="1" applyAlignment="1">
      <alignment horizontal="left"/>
    </xf>
    <xf numFmtId="164" fontId="15" fillId="2" borderId="7" xfId="0" applyNumberFormat="1" applyFont="1" applyFill="1" applyBorder="1"/>
    <xf numFmtId="0" fontId="15" fillId="2" borderId="11" xfId="0" applyFont="1" applyFill="1" applyBorder="1"/>
    <xf numFmtId="44" fontId="16" fillId="2" borderId="11" xfId="4" applyFont="1" applyFill="1" applyBorder="1"/>
    <xf numFmtId="164" fontId="16" fillId="0" borderId="18" xfId="0" applyNumberFormat="1" applyFont="1" applyBorder="1"/>
    <xf numFmtId="0" fontId="16" fillId="0" borderId="18" xfId="0" applyFont="1" applyBorder="1"/>
    <xf numFmtId="44" fontId="16" fillId="0" borderId="18" xfId="4" applyFont="1" applyBorder="1"/>
    <xf numFmtId="0" fontId="14" fillId="2" borderId="11" xfId="0" applyFont="1" applyFill="1" applyBorder="1"/>
    <xf numFmtId="44" fontId="12" fillId="2" borderId="11" xfId="4" applyFont="1" applyFill="1" applyBorder="1"/>
    <xf numFmtId="165" fontId="10" fillId="0" borderId="0" xfId="0" applyNumberFormat="1" applyFont="1"/>
    <xf numFmtId="166" fontId="10" fillId="0" borderId="0" xfId="0" applyNumberFormat="1" applyFont="1"/>
    <xf numFmtId="3" fontId="10" fillId="0" borderId="0" xfId="0" applyNumberFormat="1" applyFont="1"/>
    <xf numFmtId="17" fontId="10" fillId="0" borderId="0" xfId="0" applyNumberFormat="1" applyFont="1"/>
    <xf numFmtId="44" fontId="12" fillId="0" borderId="18" xfId="4" applyFont="1" applyBorder="1"/>
    <xf numFmtId="44" fontId="10" fillId="8" borderId="18" xfId="4" applyFont="1" applyFill="1" applyBorder="1"/>
    <xf numFmtId="164" fontId="0" fillId="9" borderId="7" xfId="0" applyNumberFormat="1" applyFill="1" applyBorder="1"/>
    <xf numFmtId="0" fontId="14" fillId="9" borderId="11" xfId="0" applyFont="1" applyFill="1" applyBorder="1"/>
    <xf numFmtId="44" fontId="16" fillId="9" borderId="11" xfId="4" applyFont="1" applyFill="1" applyBorder="1"/>
    <xf numFmtId="44" fontId="12" fillId="9" borderId="11" xfId="4" applyFont="1" applyFill="1" applyBorder="1"/>
    <xf numFmtId="44" fontId="10" fillId="8" borderId="11" xfId="4" applyFont="1" applyFill="1" applyBorder="1"/>
    <xf numFmtId="44" fontId="10" fillId="2" borderId="7" xfId="4" applyFont="1" applyFill="1" applyBorder="1"/>
    <xf numFmtId="0" fontId="10" fillId="2" borderId="0" xfId="0" applyFont="1" applyFill="1"/>
    <xf numFmtId="44" fontId="10" fillId="0" borderId="0" xfId="4" applyFont="1"/>
    <xf numFmtId="0" fontId="18" fillId="0" borderId="0" xfId="0" applyFont="1"/>
    <xf numFmtId="166" fontId="17" fillId="0" borderId="0" xfId="0" applyNumberFormat="1" applyFont="1"/>
    <xf numFmtId="0" fontId="19" fillId="0" borderId="0" xfId="0" applyFont="1"/>
    <xf numFmtId="166" fontId="3" fillId="0" borderId="2" xfId="3" applyNumberFormat="1"/>
    <xf numFmtId="9" fontId="10" fillId="0" borderId="0" xfId="7" applyFont="1"/>
    <xf numFmtId="44" fontId="9" fillId="0" borderId="0" xfId="0" applyNumberFormat="1" applyFont="1"/>
    <xf numFmtId="0" fontId="10" fillId="2" borderId="28" xfId="0" applyFont="1" applyFill="1" applyBorder="1"/>
    <xf numFmtId="0" fontId="3" fillId="2" borderId="29" xfId="3" applyFill="1" applyBorder="1"/>
    <xf numFmtId="164" fontId="0" fillId="2" borderId="0" xfId="0" applyNumberFormat="1" applyFill="1"/>
    <xf numFmtId="44" fontId="3" fillId="2" borderId="29" xfId="3" applyNumberFormat="1" applyFill="1" applyBorder="1"/>
    <xf numFmtId="167" fontId="9" fillId="6" borderId="0" xfId="3" applyNumberFormat="1" applyFont="1" applyFill="1" applyBorder="1"/>
    <xf numFmtId="0" fontId="11" fillId="6" borderId="0" xfId="5" applyFont="1" applyFill="1" applyBorder="1" applyAlignment="1">
      <alignment wrapText="1"/>
    </xf>
    <xf numFmtId="0" fontId="11" fillId="2" borderId="21" xfId="2" applyFont="1" applyFill="1" applyBorder="1" applyAlignment="1">
      <alignment wrapText="1"/>
    </xf>
    <xf numFmtId="164" fontId="10" fillId="2" borderId="7" xfId="0" applyNumberFormat="1" applyFont="1" applyFill="1" applyBorder="1"/>
    <xf numFmtId="0" fontId="10" fillId="2" borderId="13" xfId="0" applyFont="1" applyFill="1" applyBorder="1"/>
    <xf numFmtId="0" fontId="12" fillId="2" borderId="11" xfId="0" applyFont="1" applyFill="1" applyBorder="1"/>
    <xf numFmtId="44" fontId="9" fillId="2" borderId="29" xfId="3" applyNumberFormat="1" applyFont="1" applyFill="1" applyBorder="1"/>
    <xf numFmtId="0" fontId="11" fillId="2" borderId="22" xfId="2" applyFont="1" applyFill="1" applyBorder="1" applyAlignment="1">
      <alignment wrapText="1"/>
    </xf>
    <xf numFmtId="44" fontId="20" fillId="0" borderId="26" xfId="6" applyNumberFormat="1" applyFont="1" applyFill="1" applyBorder="1" applyAlignment="1">
      <alignment horizontal="left"/>
    </xf>
    <xf numFmtId="0" fontId="9" fillId="0" borderId="0" xfId="0" applyFont="1"/>
    <xf numFmtId="166" fontId="21" fillId="0" borderId="0" xfId="0" applyNumberFormat="1" applyFont="1"/>
    <xf numFmtId="0" fontId="9" fillId="0" borderId="2" xfId="3" applyFont="1"/>
    <xf numFmtId="166" fontId="9" fillId="0" borderId="2" xfId="3" applyNumberFormat="1" applyFont="1"/>
    <xf numFmtId="44" fontId="12" fillId="2" borderId="18" xfId="4" applyFont="1" applyFill="1" applyBorder="1"/>
    <xf numFmtId="44" fontId="10" fillId="0" borderId="26" xfId="6" applyNumberFormat="1" applyFont="1" applyFill="1" applyBorder="1" applyAlignment="1">
      <alignment horizontal="left"/>
    </xf>
    <xf numFmtId="44" fontId="10" fillId="0" borderId="0" xfId="6" applyNumberFormat="1" applyFont="1" applyFill="1" applyBorder="1" applyAlignment="1">
      <alignment horizontal="left"/>
    </xf>
    <xf numFmtId="0" fontId="9" fillId="2" borderId="2" xfId="3" applyFont="1" applyFill="1"/>
  </cellXfs>
  <cellStyles count="8">
    <cellStyle name="Currency" xfId="4" builtinId="4"/>
    <cellStyle name="Heading 2" xfId="5" builtinId="17"/>
    <cellStyle name="Heading 3" xfId="2" builtinId="18"/>
    <cellStyle name="Input" xfId="6" builtinId="20"/>
    <cellStyle name="Normal" xfId="0" builtinId="0"/>
    <cellStyle name="Percent" xfId="7" builtinId="5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Pari-Mutuel_Dept\Parimutuel%20Daily%20Report\2021\Pari-Mutuel%20Daily%20Report%20-%20AP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 31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3">
          <cell r="B43">
            <v>43155211.539999999</v>
          </cell>
        </row>
      </sheetData>
      <sheetData sheetId="19">
        <row r="43">
          <cell r="B43">
            <v>47512502.460000001</v>
          </cell>
        </row>
      </sheetData>
      <sheetData sheetId="20"/>
      <sheetData sheetId="21"/>
      <sheetData sheetId="22"/>
      <sheetData sheetId="23"/>
      <sheetData sheetId="24"/>
      <sheetData sheetId="25">
        <row r="43">
          <cell r="B43">
            <v>40964383.850000001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urice Robertson" id="{84ACECAD-D516-44FF-A84B-400A0104C1A2}" userId="S::maurice.robertson@svlgrp.com::ad74b5b6-935f-475f-ba26-85c901b02f5a" providerId="AD"/>
  <person displayName="Maurice Robertson" id="{55C06CCD-86C6-4DCD-9E65-8D5DFD2F3375}" userId="S::maurice.robertson@svlgrp.com::b0035c25-4c12-4c33-94b1-a870aceab64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2-12-04T12:59:21.29" personId="{55C06CCD-86C6-4DCD-9E65-8D5DFD2F3375}" id="{1AA8C6D2-21CF-4952-BE8E-D68F68008F38}">
    <text>Record sales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2-12-04T12:59:21.29" personId="{55C06CCD-86C6-4DCD-9E65-8D5DFD2F3375}" id="{6D101179-8E64-4984-9A6D-BEE9099C722F}">
    <text>Record sales</text>
  </threadedComment>
  <threadedComment ref="H3" dT="2023-12-09T19:21:10.05" personId="{84ACECAD-D516-44FF-A84B-400A0104C1A2}" id="{71BCCE1D-3898-4D11-BE03-7BA169E68452}">
    <text>Record sales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2116-72BE-4CF3-BF7E-A1F73285CBCF}">
  <dimension ref="A1:D64"/>
  <sheetViews>
    <sheetView workbookViewId="0">
      <selection activeCell="E13" sqref="E13"/>
    </sheetView>
  </sheetViews>
  <sheetFormatPr defaultRowHeight="14.5" x14ac:dyDescent="0.35"/>
  <cols>
    <col min="1" max="1" width="18.36328125" bestFit="1" customWidth="1"/>
    <col min="2" max="2" width="19.453125" bestFit="1" customWidth="1"/>
    <col min="3" max="3" width="17" bestFit="1" customWidth="1"/>
    <col min="4" max="4" width="16.7265625" customWidth="1"/>
  </cols>
  <sheetData>
    <row r="1" spans="1:4" ht="18.5" x14ac:dyDescent="0.45">
      <c r="A1" s="3" t="s">
        <v>0</v>
      </c>
      <c r="B1" s="3"/>
      <c r="C1" s="3"/>
      <c r="D1" s="3"/>
    </row>
    <row r="2" spans="1:4" ht="18.5" x14ac:dyDescent="0.45">
      <c r="A2" s="3" t="s">
        <v>1</v>
      </c>
      <c r="B2" s="3"/>
      <c r="C2" s="3"/>
      <c r="D2" s="3"/>
    </row>
    <row r="3" spans="1:4" ht="18.5" x14ac:dyDescent="0.45">
      <c r="A3" s="3" t="s">
        <v>2</v>
      </c>
      <c r="B3" s="3"/>
      <c r="C3" s="3"/>
      <c r="D3" s="3"/>
    </row>
    <row r="6" spans="1:4" ht="16" thickBot="1" x14ac:dyDescent="0.4">
      <c r="A6" s="2" t="s">
        <v>3</v>
      </c>
      <c r="B6" s="2" t="s">
        <v>4</v>
      </c>
      <c r="C6" s="2" t="s">
        <v>5</v>
      </c>
      <c r="D6" s="2" t="s">
        <v>6</v>
      </c>
    </row>
    <row r="7" spans="1:4" x14ac:dyDescent="0.35">
      <c r="A7" t="s">
        <v>7</v>
      </c>
      <c r="B7">
        <v>0</v>
      </c>
      <c r="C7" s="1">
        <v>163100</v>
      </c>
      <c r="D7" s="1">
        <f>B7-C7</f>
        <v>-163100</v>
      </c>
    </row>
    <row r="8" spans="1:4" x14ac:dyDescent="0.35">
      <c r="A8" t="s">
        <v>8</v>
      </c>
      <c r="B8">
        <v>0</v>
      </c>
      <c r="C8" s="1">
        <v>430180</v>
      </c>
      <c r="D8" s="1">
        <f t="shared" ref="D8:D63" si="0">B8-C8</f>
        <v>-430180</v>
      </c>
    </row>
    <row r="9" spans="1:4" x14ac:dyDescent="0.35">
      <c r="A9" t="s">
        <v>9</v>
      </c>
      <c r="B9" s="1">
        <v>29659428.43</v>
      </c>
      <c r="C9" s="1">
        <v>31557072.940000001</v>
      </c>
      <c r="D9" s="1">
        <f t="shared" si="0"/>
        <v>-1897644.5100000016</v>
      </c>
    </row>
    <row r="10" spans="1:4" x14ac:dyDescent="0.35">
      <c r="A10" t="s">
        <v>10</v>
      </c>
      <c r="B10" s="1">
        <v>277887937.24000001</v>
      </c>
      <c r="C10" s="1">
        <v>320316850.06</v>
      </c>
      <c r="D10" s="1">
        <f t="shared" si="0"/>
        <v>-42428912.819999993</v>
      </c>
    </row>
    <row r="11" spans="1:4" x14ac:dyDescent="0.35">
      <c r="A11" t="s">
        <v>11</v>
      </c>
      <c r="B11" s="1">
        <v>17273628.43</v>
      </c>
      <c r="C11" s="1">
        <v>22860995.940000001</v>
      </c>
      <c r="D11" s="1">
        <f t="shared" si="0"/>
        <v>-5587367.5100000016</v>
      </c>
    </row>
    <row r="12" spans="1:4" x14ac:dyDescent="0.35">
      <c r="A12" t="s">
        <v>12</v>
      </c>
      <c r="B12">
        <v>0</v>
      </c>
      <c r="C12" s="1">
        <v>246440</v>
      </c>
      <c r="D12" s="1">
        <f t="shared" si="0"/>
        <v>-246440</v>
      </c>
    </row>
    <row r="13" spans="1:4" x14ac:dyDescent="0.35">
      <c r="A13" t="s">
        <v>13</v>
      </c>
      <c r="B13">
        <v>0</v>
      </c>
      <c r="C13" s="1">
        <v>627800</v>
      </c>
      <c r="D13" s="1">
        <f t="shared" si="0"/>
        <v>-627800</v>
      </c>
    </row>
    <row r="14" spans="1:4" x14ac:dyDescent="0.35">
      <c r="A14" t="s">
        <v>14</v>
      </c>
      <c r="B14" s="1">
        <v>6693797.75</v>
      </c>
      <c r="C14" s="1">
        <v>6038094.2800000003</v>
      </c>
      <c r="D14" s="1">
        <f t="shared" si="0"/>
        <v>655703.46999999974</v>
      </c>
    </row>
    <row r="15" spans="1:4" x14ac:dyDescent="0.35">
      <c r="A15" t="s">
        <v>15</v>
      </c>
      <c r="B15" s="1">
        <v>7269134.4199999999</v>
      </c>
      <c r="C15" s="1">
        <v>6595018.3200000003</v>
      </c>
      <c r="D15" s="1">
        <f t="shared" si="0"/>
        <v>674116.09999999963</v>
      </c>
    </row>
    <row r="16" spans="1:4" x14ac:dyDescent="0.35">
      <c r="A16" t="s">
        <v>16</v>
      </c>
      <c r="B16">
        <v>0</v>
      </c>
      <c r="C16" s="1">
        <v>244020</v>
      </c>
      <c r="D16" s="1">
        <f t="shared" si="0"/>
        <v>-244020</v>
      </c>
    </row>
    <row r="17" spans="1:4" x14ac:dyDescent="0.35">
      <c r="A17" t="s">
        <v>17</v>
      </c>
      <c r="B17" s="1">
        <v>19233071.969999999</v>
      </c>
      <c r="C17" s="1">
        <v>19473662.219999999</v>
      </c>
      <c r="D17" s="1">
        <f t="shared" si="0"/>
        <v>-240590.25</v>
      </c>
    </row>
    <row r="18" spans="1:4" x14ac:dyDescent="0.35">
      <c r="A18" t="s">
        <v>18</v>
      </c>
      <c r="B18">
        <v>0</v>
      </c>
      <c r="C18" s="1">
        <v>200180</v>
      </c>
      <c r="D18" s="1">
        <f t="shared" si="0"/>
        <v>-200180</v>
      </c>
    </row>
    <row r="19" spans="1:4" x14ac:dyDescent="0.35">
      <c r="A19" t="s">
        <v>19</v>
      </c>
      <c r="B19">
        <v>0</v>
      </c>
      <c r="C19" s="1">
        <v>6115210.1200000001</v>
      </c>
      <c r="D19" s="1">
        <f t="shared" si="0"/>
        <v>-6115210.1200000001</v>
      </c>
    </row>
    <row r="20" spans="1:4" x14ac:dyDescent="0.35">
      <c r="A20" t="s">
        <v>20</v>
      </c>
      <c r="B20" s="1">
        <v>34901845.770000003</v>
      </c>
      <c r="C20" s="1">
        <v>49486832.18</v>
      </c>
      <c r="D20" s="1">
        <f t="shared" si="0"/>
        <v>-14584986.409999996</v>
      </c>
    </row>
    <row r="21" spans="1:4" x14ac:dyDescent="0.35">
      <c r="A21" t="s">
        <v>21</v>
      </c>
      <c r="B21">
        <v>0</v>
      </c>
      <c r="C21" s="1">
        <v>670450</v>
      </c>
      <c r="D21" s="1">
        <f t="shared" si="0"/>
        <v>-670450</v>
      </c>
    </row>
    <row r="22" spans="1:4" x14ac:dyDescent="0.35">
      <c r="A22" t="s">
        <v>22</v>
      </c>
      <c r="B22" s="1">
        <v>8208397.1200000001</v>
      </c>
      <c r="C22" s="1">
        <v>2366140</v>
      </c>
      <c r="D22" s="1">
        <f t="shared" si="0"/>
        <v>5842257.1200000001</v>
      </c>
    </row>
    <row r="23" spans="1:4" x14ac:dyDescent="0.35">
      <c r="A23" t="s">
        <v>23</v>
      </c>
      <c r="B23">
        <v>0</v>
      </c>
      <c r="C23" s="1">
        <v>301680</v>
      </c>
      <c r="D23" s="1">
        <f t="shared" si="0"/>
        <v>-301680</v>
      </c>
    </row>
    <row r="24" spans="1:4" x14ac:dyDescent="0.35">
      <c r="A24" t="s">
        <v>24</v>
      </c>
      <c r="B24" s="1">
        <v>7733447.5499999998</v>
      </c>
      <c r="C24" s="1">
        <v>6818395.9199999999</v>
      </c>
      <c r="D24" s="1">
        <f t="shared" si="0"/>
        <v>915051.62999999989</v>
      </c>
    </row>
    <row r="25" spans="1:4" x14ac:dyDescent="0.35">
      <c r="A25" t="s">
        <v>25</v>
      </c>
      <c r="B25" s="1">
        <v>22011100.73</v>
      </c>
      <c r="C25" s="1">
        <v>28216282.039999999</v>
      </c>
      <c r="D25" s="1">
        <f t="shared" si="0"/>
        <v>-6205181.3099999987</v>
      </c>
    </row>
    <row r="26" spans="1:4" x14ac:dyDescent="0.35">
      <c r="A26" t="s">
        <v>26</v>
      </c>
      <c r="B26">
        <v>0</v>
      </c>
      <c r="C26" s="1">
        <v>322270</v>
      </c>
      <c r="D26" s="1">
        <f t="shared" si="0"/>
        <v>-322270</v>
      </c>
    </row>
    <row r="27" spans="1:4" x14ac:dyDescent="0.35">
      <c r="A27" t="s">
        <v>27</v>
      </c>
      <c r="B27">
        <v>0</v>
      </c>
      <c r="C27" s="1">
        <v>259240</v>
      </c>
      <c r="D27" s="1">
        <f t="shared" si="0"/>
        <v>-259240</v>
      </c>
    </row>
    <row r="28" spans="1:4" x14ac:dyDescent="0.35">
      <c r="A28" t="s">
        <v>28</v>
      </c>
      <c r="B28" s="1">
        <v>10239554.789999999</v>
      </c>
      <c r="C28" s="1">
        <v>11182304.109999999</v>
      </c>
      <c r="D28" s="1">
        <f t="shared" si="0"/>
        <v>-942749.3200000003</v>
      </c>
    </row>
    <row r="29" spans="1:4" x14ac:dyDescent="0.35">
      <c r="A29" t="s">
        <v>29</v>
      </c>
      <c r="B29">
        <v>0</v>
      </c>
      <c r="C29" s="1">
        <v>2482661.2799999998</v>
      </c>
      <c r="D29" s="1">
        <f t="shared" si="0"/>
        <v>-2482661.2799999998</v>
      </c>
    </row>
    <row r="30" spans="1:4" x14ac:dyDescent="0.35">
      <c r="A30" t="s">
        <v>30</v>
      </c>
      <c r="B30">
        <v>0</v>
      </c>
      <c r="C30" s="1">
        <v>491650</v>
      </c>
      <c r="D30" s="1">
        <f t="shared" si="0"/>
        <v>-491650</v>
      </c>
    </row>
    <row r="31" spans="1:4" x14ac:dyDescent="0.35">
      <c r="A31" t="s">
        <v>31</v>
      </c>
      <c r="B31" s="1">
        <v>2886619.83</v>
      </c>
      <c r="C31" s="1">
        <v>3414230</v>
      </c>
      <c r="D31" s="1">
        <f t="shared" si="0"/>
        <v>-527610.16999999993</v>
      </c>
    </row>
    <row r="32" spans="1:4" x14ac:dyDescent="0.35">
      <c r="A32" t="s">
        <v>32</v>
      </c>
      <c r="B32" s="1">
        <v>4589885.08</v>
      </c>
      <c r="C32" s="1">
        <v>16100583.140000001</v>
      </c>
      <c r="D32" s="1">
        <f t="shared" si="0"/>
        <v>-11510698.060000001</v>
      </c>
    </row>
    <row r="33" spans="1:4" x14ac:dyDescent="0.35">
      <c r="A33" t="s">
        <v>33</v>
      </c>
      <c r="B33">
        <v>0</v>
      </c>
      <c r="C33" s="1">
        <v>130490</v>
      </c>
      <c r="D33" s="1">
        <f t="shared" si="0"/>
        <v>-130490</v>
      </c>
    </row>
    <row r="34" spans="1:4" x14ac:dyDescent="0.35">
      <c r="A34" t="s">
        <v>34</v>
      </c>
      <c r="B34" s="1">
        <v>3097079.84</v>
      </c>
      <c r="C34">
        <v>0</v>
      </c>
      <c r="D34" s="1">
        <f t="shared" si="0"/>
        <v>3097079.84</v>
      </c>
    </row>
    <row r="35" spans="1:4" x14ac:dyDescent="0.35">
      <c r="A35" t="s">
        <v>35</v>
      </c>
      <c r="B35" s="1">
        <v>6072772.6600000001</v>
      </c>
      <c r="C35" s="1">
        <v>6041503</v>
      </c>
      <c r="D35" s="1">
        <f t="shared" si="0"/>
        <v>31269.660000000149</v>
      </c>
    </row>
    <row r="36" spans="1:4" x14ac:dyDescent="0.35">
      <c r="A36" t="s">
        <v>36</v>
      </c>
      <c r="B36">
        <v>0</v>
      </c>
      <c r="C36" s="1">
        <v>154398</v>
      </c>
      <c r="D36" s="1">
        <f t="shared" si="0"/>
        <v>-154398</v>
      </c>
    </row>
    <row r="37" spans="1:4" x14ac:dyDescent="0.35">
      <c r="A37" t="s">
        <v>37</v>
      </c>
      <c r="B37">
        <v>0</v>
      </c>
      <c r="C37" s="1">
        <v>963251</v>
      </c>
      <c r="D37" s="1">
        <f t="shared" si="0"/>
        <v>-963251</v>
      </c>
    </row>
    <row r="38" spans="1:4" x14ac:dyDescent="0.35">
      <c r="A38" t="s">
        <v>38</v>
      </c>
      <c r="B38">
        <v>0</v>
      </c>
      <c r="C38" s="1">
        <v>387422</v>
      </c>
      <c r="D38" s="1">
        <f t="shared" si="0"/>
        <v>-387422</v>
      </c>
    </row>
    <row r="39" spans="1:4" x14ac:dyDescent="0.35">
      <c r="A39" t="s">
        <v>39</v>
      </c>
      <c r="B39">
        <v>0</v>
      </c>
      <c r="C39" s="1">
        <v>462995</v>
      </c>
      <c r="D39" s="1">
        <f t="shared" si="0"/>
        <v>-462995</v>
      </c>
    </row>
    <row r="40" spans="1:4" x14ac:dyDescent="0.35">
      <c r="A40" t="s">
        <v>40</v>
      </c>
      <c r="B40">
        <v>0</v>
      </c>
      <c r="C40" s="1">
        <v>393330</v>
      </c>
      <c r="D40" s="1">
        <f t="shared" si="0"/>
        <v>-393330</v>
      </c>
    </row>
    <row r="41" spans="1:4" x14ac:dyDescent="0.35">
      <c r="A41" t="s">
        <v>41</v>
      </c>
      <c r="B41">
        <v>0</v>
      </c>
      <c r="C41" s="1">
        <v>813080</v>
      </c>
      <c r="D41" s="1">
        <f t="shared" si="0"/>
        <v>-813080</v>
      </c>
    </row>
    <row r="42" spans="1:4" x14ac:dyDescent="0.35">
      <c r="A42" t="s">
        <v>42</v>
      </c>
      <c r="B42">
        <v>0</v>
      </c>
      <c r="C42" s="1">
        <v>401110</v>
      </c>
      <c r="D42" s="1">
        <f t="shared" si="0"/>
        <v>-401110</v>
      </c>
    </row>
    <row r="43" spans="1:4" x14ac:dyDescent="0.35">
      <c r="A43" t="s">
        <v>43</v>
      </c>
      <c r="B43">
        <v>0</v>
      </c>
      <c r="C43" s="1">
        <v>231520</v>
      </c>
      <c r="D43" s="1">
        <f t="shared" si="0"/>
        <v>-231520</v>
      </c>
    </row>
    <row r="44" spans="1:4" x14ac:dyDescent="0.35">
      <c r="A44" t="s">
        <v>44</v>
      </c>
      <c r="B44">
        <v>0</v>
      </c>
      <c r="C44" s="1">
        <v>727440</v>
      </c>
      <c r="D44" s="1">
        <f t="shared" si="0"/>
        <v>-727440</v>
      </c>
    </row>
    <row r="45" spans="1:4" x14ac:dyDescent="0.35">
      <c r="A45" t="s">
        <v>45</v>
      </c>
      <c r="B45">
        <v>0</v>
      </c>
      <c r="C45" s="1">
        <v>719330</v>
      </c>
      <c r="D45" s="1">
        <f t="shared" si="0"/>
        <v>-719330</v>
      </c>
    </row>
    <row r="46" spans="1:4" x14ac:dyDescent="0.35">
      <c r="A46" t="s">
        <v>46</v>
      </c>
      <c r="B46">
        <v>0</v>
      </c>
      <c r="C46" s="1">
        <v>712670</v>
      </c>
      <c r="D46" s="1">
        <f t="shared" si="0"/>
        <v>-712670</v>
      </c>
    </row>
    <row r="47" spans="1:4" x14ac:dyDescent="0.35">
      <c r="A47" t="s">
        <v>47</v>
      </c>
      <c r="B47">
        <v>0</v>
      </c>
      <c r="C47" s="1">
        <v>368530</v>
      </c>
      <c r="D47" s="1">
        <f t="shared" si="0"/>
        <v>-368530</v>
      </c>
    </row>
    <row r="48" spans="1:4" x14ac:dyDescent="0.35">
      <c r="A48" t="s">
        <v>48</v>
      </c>
      <c r="B48">
        <v>0</v>
      </c>
      <c r="C48" s="1">
        <v>135640</v>
      </c>
      <c r="D48" s="1">
        <f t="shared" si="0"/>
        <v>-135640</v>
      </c>
    </row>
    <row r="49" spans="1:4" x14ac:dyDescent="0.35">
      <c r="A49" t="s">
        <v>49</v>
      </c>
      <c r="B49">
        <v>0</v>
      </c>
      <c r="C49" s="1">
        <v>211290</v>
      </c>
      <c r="D49" s="1">
        <f t="shared" si="0"/>
        <v>-211290</v>
      </c>
    </row>
    <row r="50" spans="1:4" x14ac:dyDescent="0.35">
      <c r="A50" t="s">
        <v>50</v>
      </c>
      <c r="B50">
        <v>0</v>
      </c>
      <c r="C50" s="1">
        <v>866694</v>
      </c>
      <c r="D50" s="1">
        <f t="shared" si="0"/>
        <v>-866694</v>
      </c>
    </row>
    <row r="51" spans="1:4" x14ac:dyDescent="0.35">
      <c r="A51" t="s">
        <v>51</v>
      </c>
      <c r="B51">
        <v>0</v>
      </c>
      <c r="C51" s="1">
        <v>2159355</v>
      </c>
      <c r="D51" s="1">
        <f t="shared" si="0"/>
        <v>-2159355</v>
      </c>
    </row>
    <row r="52" spans="1:4" x14ac:dyDescent="0.35">
      <c r="A52" t="s">
        <v>52</v>
      </c>
      <c r="B52">
        <v>0</v>
      </c>
      <c r="C52" s="1">
        <v>764440</v>
      </c>
      <c r="D52" s="1">
        <f t="shared" si="0"/>
        <v>-764440</v>
      </c>
    </row>
    <row r="53" spans="1:4" x14ac:dyDescent="0.35">
      <c r="A53" t="s">
        <v>53</v>
      </c>
      <c r="B53">
        <v>0</v>
      </c>
      <c r="C53" s="1">
        <v>386749</v>
      </c>
      <c r="D53" s="1">
        <f t="shared" si="0"/>
        <v>-386749</v>
      </c>
    </row>
    <row r="54" spans="1:4" x14ac:dyDescent="0.35">
      <c r="A54" t="s">
        <v>54</v>
      </c>
      <c r="B54">
        <v>0</v>
      </c>
      <c r="C54" s="1">
        <v>605387</v>
      </c>
      <c r="D54" s="1">
        <f t="shared" si="0"/>
        <v>-605387</v>
      </c>
    </row>
    <row r="55" spans="1:4" x14ac:dyDescent="0.35">
      <c r="A55" t="s">
        <v>55</v>
      </c>
      <c r="B55">
        <v>0</v>
      </c>
      <c r="C55" s="1">
        <v>132525</v>
      </c>
      <c r="D55" s="1">
        <f t="shared" si="0"/>
        <v>-132525</v>
      </c>
    </row>
    <row r="56" spans="1:4" x14ac:dyDescent="0.35">
      <c r="A56" t="s">
        <v>56</v>
      </c>
      <c r="B56">
        <v>0</v>
      </c>
      <c r="C56" s="1">
        <v>257960</v>
      </c>
      <c r="D56" s="1">
        <f t="shared" si="0"/>
        <v>-257960</v>
      </c>
    </row>
    <row r="57" spans="1:4" x14ac:dyDescent="0.35">
      <c r="A57" t="s">
        <v>57</v>
      </c>
      <c r="B57">
        <v>0</v>
      </c>
      <c r="C57" s="1">
        <v>471840</v>
      </c>
      <c r="D57" s="1">
        <f t="shared" si="0"/>
        <v>-471840</v>
      </c>
    </row>
    <row r="58" spans="1:4" x14ac:dyDescent="0.35">
      <c r="A58" t="s">
        <v>58</v>
      </c>
      <c r="B58">
        <v>0</v>
      </c>
      <c r="C58" s="1">
        <v>483690</v>
      </c>
      <c r="D58" s="1">
        <f t="shared" si="0"/>
        <v>-483690</v>
      </c>
    </row>
    <row r="59" spans="1:4" x14ac:dyDescent="0.35">
      <c r="A59" t="s">
        <v>59</v>
      </c>
      <c r="B59">
        <v>0</v>
      </c>
      <c r="C59" s="1">
        <v>158470</v>
      </c>
      <c r="D59" s="1">
        <f t="shared" si="0"/>
        <v>-158470</v>
      </c>
    </row>
    <row r="60" spans="1:4" x14ac:dyDescent="0.35">
      <c r="A60" t="s">
        <v>60</v>
      </c>
      <c r="B60">
        <v>0</v>
      </c>
      <c r="C60" s="1">
        <v>808980</v>
      </c>
      <c r="D60" s="1">
        <f t="shared" si="0"/>
        <v>-808980</v>
      </c>
    </row>
    <row r="61" spans="1:4" x14ac:dyDescent="0.35">
      <c r="A61" t="s">
        <v>61</v>
      </c>
      <c r="B61">
        <v>0</v>
      </c>
      <c r="C61" s="1">
        <v>13549456.26</v>
      </c>
      <c r="D61" s="1">
        <f t="shared" si="0"/>
        <v>-13549456.26</v>
      </c>
    </row>
    <row r="62" spans="1:4" x14ac:dyDescent="0.35">
      <c r="C62" s="1"/>
      <c r="D62" s="1"/>
    </row>
    <row r="63" spans="1:4" ht="15" thickBot="1" x14ac:dyDescent="0.4">
      <c r="A63" s="4" t="s">
        <v>62</v>
      </c>
      <c r="B63" s="5">
        <v>457757701.61000001</v>
      </c>
      <c r="C63" s="5">
        <v>570480887.80999994</v>
      </c>
      <c r="D63" s="5">
        <f t="shared" si="0"/>
        <v>-112723186.19999993</v>
      </c>
    </row>
    <row r="64" spans="1:4" ht="15" thickTop="1" x14ac:dyDescent="0.3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EA48-C5E7-47D4-8484-EC072C04986D}">
  <dimension ref="A1:M55"/>
  <sheetViews>
    <sheetView workbookViewId="0">
      <selection activeCell="F18" sqref="F18:H22"/>
    </sheetView>
  </sheetViews>
  <sheetFormatPr defaultRowHeight="13" x14ac:dyDescent="0.3"/>
  <cols>
    <col min="1" max="1" width="26" style="35" customWidth="1"/>
    <col min="2" max="2" width="5.90625" style="35" customWidth="1"/>
    <col min="3" max="3" width="15.90625" style="35" bestFit="1" customWidth="1"/>
    <col min="4" max="4" width="13.81640625" style="35" customWidth="1"/>
    <col min="5" max="5" width="2.81640625" style="35" customWidth="1"/>
    <col min="6" max="6" width="26.08984375" style="35" customWidth="1"/>
    <col min="7" max="7" width="6.54296875" style="35" bestFit="1" customWidth="1"/>
    <col min="8" max="8" width="15.6328125" style="35" bestFit="1" customWidth="1"/>
    <col min="9" max="9" width="13.36328125" style="35" bestFit="1" customWidth="1"/>
    <col min="10" max="10" width="3.36328125" style="47" customWidth="1"/>
    <col min="11" max="11" width="5.26953125" style="35" customWidth="1"/>
    <col min="12" max="12" width="14.54296875" style="35" customWidth="1"/>
    <col min="13" max="13" width="13.08984375" style="35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3">
      <c r="A3" s="50">
        <v>43894</v>
      </c>
      <c r="B3" s="49">
        <v>8</v>
      </c>
      <c r="C3" s="51">
        <v>34447074.770000003</v>
      </c>
      <c r="D3" s="51">
        <v>5440000</v>
      </c>
      <c r="F3" s="50">
        <v>44261</v>
      </c>
      <c r="G3" s="49">
        <v>10</v>
      </c>
      <c r="H3" s="51">
        <v>59661749.439999998</v>
      </c>
      <c r="I3" s="51">
        <v>10060000</v>
      </c>
      <c r="J3" s="45"/>
      <c r="K3" s="49">
        <f t="shared" ref="K3:L10" si="0">G3-B3</f>
        <v>2</v>
      </c>
      <c r="L3" s="38">
        <f t="shared" si="0"/>
        <v>25214674.669999994</v>
      </c>
      <c r="M3" s="38">
        <f>D3-I3</f>
        <v>-4620000</v>
      </c>
    </row>
    <row r="4" spans="1:13" x14ac:dyDescent="0.3">
      <c r="A4" s="50">
        <v>43897</v>
      </c>
      <c r="B4" s="49">
        <v>10</v>
      </c>
      <c r="C4" s="51">
        <v>43573529.450000003</v>
      </c>
      <c r="D4" s="51">
        <v>9030000</v>
      </c>
      <c r="F4" s="50">
        <v>44262</v>
      </c>
      <c r="G4" s="49">
        <v>8</v>
      </c>
      <c r="H4" s="51">
        <v>44206465</v>
      </c>
      <c r="I4" s="51">
        <v>6590000</v>
      </c>
      <c r="J4" s="45"/>
      <c r="K4" s="49">
        <f t="shared" si="0"/>
        <v>-2</v>
      </c>
      <c r="L4" s="38">
        <f t="shared" si="0"/>
        <v>632935.54999999702</v>
      </c>
      <c r="M4" s="38">
        <f t="shared" ref="M4:M9" si="1">D4-I4</f>
        <v>2440000</v>
      </c>
    </row>
    <row r="5" spans="1:13" x14ac:dyDescent="0.3">
      <c r="A5" s="50">
        <v>43907</v>
      </c>
      <c r="B5" s="49">
        <v>10</v>
      </c>
      <c r="C5" s="51">
        <v>24531411.780000001</v>
      </c>
      <c r="D5" s="51">
        <v>7470000</v>
      </c>
      <c r="F5" s="50">
        <v>44268</v>
      </c>
      <c r="G5" s="49">
        <v>10</v>
      </c>
      <c r="H5" s="51">
        <v>59827912.810000002</v>
      </c>
      <c r="I5" s="51">
        <v>7350000</v>
      </c>
      <c r="J5" s="45"/>
      <c r="K5" s="49">
        <f t="shared" si="0"/>
        <v>0</v>
      </c>
      <c r="L5" s="38">
        <f t="shared" si="0"/>
        <v>35296501.030000001</v>
      </c>
      <c r="M5" s="38">
        <f t="shared" si="1"/>
        <v>120000</v>
      </c>
    </row>
    <row r="6" spans="1:13" x14ac:dyDescent="0.3">
      <c r="A6" s="50">
        <v>43911</v>
      </c>
      <c r="B6" s="49">
        <v>10</v>
      </c>
      <c r="C6" s="51">
        <v>37315096.310000002</v>
      </c>
      <c r="D6" s="51">
        <v>7540000</v>
      </c>
      <c r="F6" s="50">
        <v>44269</v>
      </c>
      <c r="G6" s="49">
        <v>9</v>
      </c>
      <c r="H6" s="51">
        <v>40320971.340000004</v>
      </c>
      <c r="I6" s="51">
        <v>7470000</v>
      </c>
      <c r="J6" s="45"/>
      <c r="K6" s="49">
        <f t="shared" si="0"/>
        <v>-1</v>
      </c>
      <c r="L6" s="38">
        <f t="shared" si="0"/>
        <v>3005875.0300000012</v>
      </c>
      <c r="M6" s="38">
        <f t="shared" si="1"/>
        <v>70000</v>
      </c>
    </row>
    <row r="7" spans="1:13" x14ac:dyDescent="0.3">
      <c r="A7" s="50"/>
      <c r="B7" s="49"/>
      <c r="C7" s="51"/>
      <c r="D7" s="51"/>
      <c r="F7" s="50">
        <v>44275</v>
      </c>
      <c r="G7" s="49">
        <v>11</v>
      </c>
      <c r="H7" s="51">
        <v>62080312.479999997</v>
      </c>
      <c r="I7" s="51">
        <v>8200000</v>
      </c>
      <c r="J7" s="45"/>
      <c r="K7" s="49">
        <f t="shared" si="0"/>
        <v>11</v>
      </c>
      <c r="L7" s="38">
        <f t="shared" si="0"/>
        <v>62080312.479999997</v>
      </c>
      <c r="M7" s="38">
        <f t="shared" si="1"/>
        <v>-8200000</v>
      </c>
    </row>
    <row r="8" spans="1:13" x14ac:dyDescent="0.3">
      <c r="A8" s="50"/>
      <c r="B8" s="49"/>
      <c r="C8" s="51"/>
      <c r="D8" s="51"/>
      <c r="F8" s="50">
        <v>44276</v>
      </c>
      <c r="G8" s="49">
        <v>11</v>
      </c>
      <c r="H8" s="51">
        <v>52334749.539999999</v>
      </c>
      <c r="I8" s="51">
        <v>8450000</v>
      </c>
      <c r="J8" s="45"/>
      <c r="K8" s="49">
        <f t="shared" si="0"/>
        <v>11</v>
      </c>
      <c r="L8" s="38">
        <f t="shared" si="0"/>
        <v>52334749.539999999</v>
      </c>
      <c r="M8" s="38">
        <f t="shared" si="1"/>
        <v>-8450000</v>
      </c>
    </row>
    <row r="9" spans="1:13" x14ac:dyDescent="0.3">
      <c r="A9" s="50"/>
      <c r="B9" s="49"/>
      <c r="C9" s="51"/>
      <c r="D9" s="51"/>
      <c r="F9" s="50">
        <v>44285</v>
      </c>
      <c r="G9" s="49">
        <v>11</v>
      </c>
      <c r="H9" s="51">
        <v>56713782</v>
      </c>
      <c r="I9" s="51">
        <v>7800000</v>
      </c>
      <c r="J9" s="45"/>
      <c r="K9" s="49">
        <f t="shared" si="0"/>
        <v>11</v>
      </c>
      <c r="L9" s="38">
        <f t="shared" si="0"/>
        <v>56713782</v>
      </c>
      <c r="M9" s="38">
        <f t="shared" si="1"/>
        <v>-7800000</v>
      </c>
    </row>
    <row r="10" spans="1:13" x14ac:dyDescent="0.3">
      <c r="A10" s="50"/>
      <c r="B10" s="49"/>
      <c r="C10" s="51"/>
      <c r="D10" s="51"/>
      <c r="F10" s="50"/>
      <c r="G10" s="49"/>
      <c r="H10" s="51"/>
      <c r="I10" s="38"/>
      <c r="J10" s="45"/>
      <c r="K10" s="49">
        <f t="shared" si="0"/>
        <v>0</v>
      </c>
      <c r="L10" s="38"/>
      <c r="M10" s="38"/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38</v>
      </c>
      <c r="C12" s="39">
        <f>SUM(C3:C11)</f>
        <v>139867112.31</v>
      </c>
      <c r="D12" s="54">
        <f>SUM(D3:D11)</f>
        <v>29480000</v>
      </c>
      <c r="F12" s="52" t="s">
        <v>66</v>
      </c>
      <c r="G12" s="52">
        <f>SUM(G3:G11)</f>
        <v>70</v>
      </c>
      <c r="H12" s="39">
        <f>SUM(H3:H11)</f>
        <v>375145942.61000001</v>
      </c>
      <c r="I12" s="39">
        <f>SUM(I3:I11)</f>
        <v>55920000</v>
      </c>
      <c r="J12" s="46"/>
      <c r="K12" s="14">
        <f>G12-B12</f>
        <v>32</v>
      </c>
      <c r="L12" s="39">
        <f>SUM(L3:L11)</f>
        <v>235278830.29999998</v>
      </c>
      <c r="M12" s="39">
        <f>SUM(M3:M11)</f>
        <v>-26440000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>
        <f>SUM(B3:B11)/COUNT(B3:B11)</f>
        <v>9.5</v>
      </c>
      <c r="C14" s="63">
        <f>SUM(C3:C11)/COUNT(C3:C11)</f>
        <v>34966778.077500001</v>
      </c>
      <c r="D14" s="63">
        <f>SUM(D3:D11)/COUNT(D3:D11)</f>
        <v>7370000</v>
      </c>
      <c r="F14" s="59"/>
      <c r="G14" s="60">
        <f>SUM(G3:G11)/COUNT(G3:G11)</f>
        <v>10</v>
      </c>
      <c r="H14" s="61">
        <f>SUM(H3:H11)/COUNT(H3:H11)</f>
        <v>53592277.515714288</v>
      </c>
      <c r="I14" s="61">
        <f>SUM(I3:I11)/COUNT(I3:I11)</f>
        <v>7988571.4285714282</v>
      </c>
      <c r="J14" s="48"/>
      <c r="K14" s="62">
        <f>SUM(K3:K11)/COUNT(K3:K11)</f>
        <v>4</v>
      </c>
      <c r="L14" s="63">
        <f>SUM(L3:L11)/COUNT(L3:L11)</f>
        <v>33611261.471428566</v>
      </c>
      <c r="M14" s="63">
        <f>SUM(M3:M11)/COUNT(M3:M11)</f>
        <v>-3777142.8571428573</v>
      </c>
    </row>
    <row r="16" spans="1:13" x14ac:dyDescent="0.3">
      <c r="A16" s="34" t="s">
        <v>71</v>
      </c>
    </row>
    <row r="17" spans="1:13" ht="29.5" thickBot="1" x14ac:dyDescent="0.4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3">
      <c r="A18" s="73">
        <v>43897</v>
      </c>
      <c r="B18" s="68">
        <v>7</v>
      </c>
      <c r="C18" s="74">
        <v>69254037.079999998</v>
      </c>
      <c r="D18" s="74"/>
      <c r="F18" s="73">
        <v>44261</v>
      </c>
      <c r="G18" s="68">
        <v>6</v>
      </c>
      <c r="H18" s="74">
        <v>59141786.640000001</v>
      </c>
      <c r="I18" s="69"/>
      <c r="J18" s="45"/>
      <c r="K18" s="68">
        <f t="shared" ref="K18:L23" si="2">G18-B18</f>
        <v>-1</v>
      </c>
      <c r="L18" s="69">
        <f t="shared" si="2"/>
        <v>-10112250.439999998</v>
      </c>
      <c r="M18" s="69"/>
    </row>
    <row r="19" spans="1:13" x14ac:dyDescent="0.3">
      <c r="A19" s="73">
        <v>43904</v>
      </c>
      <c r="B19" s="68">
        <v>7</v>
      </c>
      <c r="C19" s="74">
        <v>63352670.950000003</v>
      </c>
      <c r="D19" s="74"/>
      <c r="F19" s="73">
        <v>44268</v>
      </c>
      <c r="G19" s="68">
        <v>7</v>
      </c>
      <c r="H19" s="74">
        <v>61991609.170000002</v>
      </c>
      <c r="I19" s="69"/>
      <c r="J19" s="45"/>
      <c r="K19" s="68">
        <f t="shared" si="2"/>
        <v>0</v>
      </c>
      <c r="L19" s="69">
        <f t="shared" si="2"/>
        <v>-1361061.7800000012</v>
      </c>
      <c r="M19" s="69"/>
    </row>
    <row r="20" spans="1:13" x14ac:dyDescent="0.3">
      <c r="A20" s="73">
        <v>43911</v>
      </c>
      <c r="B20" s="68">
        <v>7</v>
      </c>
      <c r="C20" s="74">
        <v>31393299.989999998</v>
      </c>
      <c r="D20" s="74"/>
      <c r="F20" s="73">
        <v>44275</v>
      </c>
      <c r="G20" s="68">
        <v>7</v>
      </c>
      <c r="H20" s="74">
        <v>64185625.25</v>
      </c>
      <c r="I20" s="69"/>
      <c r="J20" s="45"/>
      <c r="K20" s="68">
        <f t="shared" si="2"/>
        <v>0</v>
      </c>
      <c r="L20" s="69">
        <f t="shared" si="2"/>
        <v>32792325.260000002</v>
      </c>
      <c r="M20" s="69"/>
    </row>
    <row r="21" spans="1:13" x14ac:dyDescent="0.3">
      <c r="A21" s="73">
        <v>43918</v>
      </c>
      <c r="B21" s="68">
        <v>7</v>
      </c>
      <c r="C21" s="74"/>
      <c r="D21" s="74"/>
      <c r="F21" s="73">
        <v>44282</v>
      </c>
      <c r="G21" s="68">
        <v>7</v>
      </c>
      <c r="H21" s="74">
        <v>42450826.079999998</v>
      </c>
      <c r="I21" s="69"/>
      <c r="J21" s="45"/>
      <c r="K21" s="68">
        <f t="shared" si="2"/>
        <v>0</v>
      </c>
      <c r="L21" s="69">
        <f t="shared" si="2"/>
        <v>42450826.079999998</v>
      </c>
      <c r="M21" s="69"/>
    </row>
    <row r="22" spans="1:13" x14ac:dyDescent="0.3">
      <c r="A22" s="73">
        <v>43921</v>
      </c>
      <c r="B22" s="68">
        <v>3</v>
      </c>
      <c r="C22" s="74"/>
      <c r="D22" s="74"/>
      <c r="F22" s="73">
        <v>44286</v>
      </c>
      <c r="G22" s="68">
        <v>4</v>
      </c>
      <c r="H22" s="74">
        <f>8870999.39+8200000</f>
        <v>17070999.390000001</v>
      </c>
      <c r="I22" s="69"/>
      <c r="J22" s="45"/>
      <c r="K22" s="68">
        <f t="shared" si="2"/>
        <v>1</v>
      </c>
      <c r="L22" s="69">
        <f t="shared" si="2"/>
        <v>17070999.390000001</v>
      </c>
      <c r="M22" s="69"/>
    </row>
    <row r="23" spans="1:13" x14ac:dyDescent="0.3">
      <c r="A23" s="73"/>
      <c r="B23" s="68"/>
      <c r="C23" s="74"/>
      <c r="D23" s="74"/>
      <c r="F23" s="73"/>
      <c r="G23" s="68"/>
      <c r="H23" s="74"/>
      <c r="I23" s="69"/>
      <c r="J23" s="45"/>
      <c r="K23" s="68"/>
      <c r="L23" s="69">
        <f t="shared" si="2"/>
        <v>0</v>
      </c>
      <c r="M23" s="69"/>
    </row>
    <row r="24" spans="1:13" ht="13.5" thickBot="1" x14ac:dyDescent="0.35">
      <c r="A24" s="75" t="s">
        <v>66</v>
      </c>
      <c r="B24" s="75">
        <f>SUM(B18:B22)</f>
        <v>31</v>
      </c>
      <c r="C24" s="70">
        <f>SUM(C18:C22)</f>
        <v>164000008.02000001</v>
      </c>
      <c r="D24" s="70"/>
      <c r="F24" s="75" t="s">
        <v>66</v>
      </c>
      <c r="G24" s="75">
        <f>SUM(G18:G23)</f>
        <v>31</v>
      </c>
      <c r="H24" s="70">
        <f>SUM(H18:H23)</f>
        <v>244840846.52999997</v>
      </c>
      <c r="I24" s="70"/>
      <c r="J24" s="46"/>
      <c r="K24" s="68">
        <f>SUM(K18:K23)</f>
        <v>0</v>
      </c>
      <c r="L24" s="70">
        <f>SUM(L18:L23)</f>
        <v>80840838.510000005</v>
      </c>
      <c r="M24" s="70"/>
    </row>
    <row r="25" spans="1:13" ht="13.5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35">
      <c r="A26" s="71" t="s">
        <v>67</v>
      </c>
      <c r="B26" s="71"/>
      <c r="C26" s="72">
        <f>C12+C24</f>
        <v>303867120.33000004</v>
      </c>
      <c r="D26" s="72"/>
      <c r="E26" s="41"/>
      <c r="F26" s="71" t="s">
        <v>67</v>
      </c>
      <c r="G26" s="71"/>
      <c r="H26" s="72">
        <f>H24+H12</f>
        <v>619986789.13999999</v>
      </c>
      <c r="I26" s="72"/>
      <c r="J26" s="46"/>
      <c r="K26" s="71"/>
      <c r="L26" s="72">
        <f>L24+L12</f>
        <v>316119668.81</v>
      </c>
      <c r="M26" s="72"/>
    </row>
    <row r="27" spans="1:13" ht="13.5" thickTop="1" x14ac:dyDescent="0.3"/>
    <row r="29" spans="1:13" x14ac:dyDescent="0.3">
      <c r="A29" s="34" t="s">
        <v>73</v>
      </c>
    </row>
    <row r="30" spans="1:13" ht="30" thickBot="1" x14ac:dyDescent="0.45">
      <c r="A30" s="37" t="s">
        <v>63</v>
      </c>
      <c r="B30" s="37" t="s">
        <v>64</v>
      </c>
      <c r="C30" s="37" t="s">
        <v>65</v>
      </c>
      <c r="D30" s="53" t="s">
        <v>74</v>
      </c>
      <c r="E30" s="36"/>
      <c r="F30" s="37" t="s">
        <v>63</v>
      </c>
      <c r="G30" s="37" t="s">
        <v>64</v>
      </c>
      <c r="H30" s="37" t="s">
        <v>65</v>
      </c>
      <c r="I30" s="18" t="s">
        <v>74</v>
      </c>
      <c r="J30" s="44"/>
      <c r="K30" s="64" t="s">
        <v>78</v>
      </c>
      <c r="L30" s="37" t="s">
        <v>76</v>
      </c>
      <c r="M30" s="37" t="s">
        <v>77</v>
      </c>
    </row>
    <row r="31" spans="1:13" ht="13.5" thickTop="1" x14ac:dyDescent="0.3">
      <c r="A31" s="50">
        <v>43526</v>
      </c>
      <c r="B31" s="49">
        <v>10</v>
      </c>
      <c r="C31" s="51">
        <v>41297782.5</v>
      </c>
      <c r="D31" s="51">
        <v>7510000</v>
      </c>
      <c r="F31" s="50">
        <v>44261</v>
      </c>
      <c r="G31" s="49">
        <v>10</v>
      </c>
      <c r="H31" s="51">
        <v>59661749.439999998</v>
      </c>
      <c r="I31" s="51">
        <v>10060000</v>
      </c>
      <c r="J31" s="45"/>
      <c r="K31" s="49">
        <f t="shared" ref="K31:K38" si="3">G31-B31</f>
        <v>0</v>
      </c>
      <c r="L31" s="38">
        <f t="shared" ref="L31:L37" si="4">H31-C31</f>
        <v>18363966.939999998</v>
      </c>
      <c r="M31" s="38">
        <f>D31-I31</f>
        <v>-2550000</v>
      </c>
    </row>
    <row r="32" spans="1:13" x14ac:dyDescent="0.3">
      <c r="A32" s="50">
        <v>43530</v>
      </c>
      <c r="B32" s="49">
        <v>11</v>
      </c>
      <c r="C32" s="51">
        <v>45366561</v>
      </c>
      <c r="D32" s="51">
        <v>7910000</v>
      </c>
      <c r="F32" s="50">
        <v>44262</v>
      </c>
      <c r="G32" s="49">
        <v>8</v>
      </c>
      <c r="H32" s="51">
        <v>44206465</v>
      </c>
      <c r="I32" s="51">
        <v>6590000</v>
      </c>
      <c r="J32" s="45"/>
      <c r="K32" s="49">
        <f t="shared" si="3"/>
        <v>-3</v>
      </c>
      <c r="L32" s="38">
        <f t="shared" si="4"/>
        <v>-1160096</v>
      </c>
      <c r="M32" s="38">
        <f t="shared" ref="M32:M37" si="5">D32-I32</f>
        <v>1320000</v>
      </c>
    </row>
    <row r="33" spans="1:13" x14ac:dyDescent="0.3">
      <c r="A33" s="50">
        <v>43533</v>
      </c>
      <c r="B33" s="49">
        <v>10</v>
      </c>
      <c r="C33" s="51">
        <v>47741769.399999999</v>
      </c>
      <c r="D33" s="51">
        <v>7200000</v>
      </c>
      <c r="F33" s="50">
        <v>44268</v>
      </c>
      <c r="G33" s="49">
        <v>10</v>
      </c>
      <c r="H33" s="51">
        <v>59827912.810000002</v>
      </c>
      <c r="I33" s="51">
        <v>7350000</v>
      </c>
      <c r="J33" s="45"/>
      <c r="K33" s="49">
        <f t="shared" si="3"/>
        <v>0</v>
      </c>
      <c r="L33" s="38">
        <f t="shared" si="4"/>
        <v>12086143.410000004</v>
      </c>
      <c r="M33" s="38">
        <f t="shared" si="5"/>
        <v>-150000</v>
      </c>
    </row>
    <row r="34" spans="1:13" x14ac:dyDescent="0.3">
      <c r="A34" s="50">
        <v>43540</v>
      </c>
      <c r="B34" s="49">
        <v>12</v>
      </c>
      <c r="C34" s="51">
        <v>50469723</v>
      </c>
      <c r="D34" s="51">
        <v>9820000</v>
      </c>
      <c r="F34" s="50">
        <v>44269</v>
      </c>
      <c r="G34" s="49">
        <v>9</v>
      </c>
      <c r="H34" s="51">
        <v>40320971.340000004</v>
      </c>
      <c r="I34" s="51">
        <v>7470000</v>
      </c>
      <c r="J34" s="45"/>
      <c r="K34" s="49">
        <f t="shared" si="3"/>
        <v>-3</v>
      </c>
      <c r="L34" s="38">
        <f t="shared" si="4"/>
        <v>-10148751.659999996</v>
      </c>
      <c r="M34" s="38">
        <f t="shared" si="5"/>
        <v>2350000</v>
      </c>
    </row>
    <row r="35" spans="1:13" x14ac:dyDescent="0.3">
      <c r="A35" s="50">
        <v>43547</v>
      </c>
      <c r="B35" s="49">
        <v>11</v>
      </c>
      <c r="C35" s="51">
        <v>48832167.490000002</v>
      </c>
      <c r="D35" s="51">
        <v>8860000</v>
      </c>
      <c r="F35" s="50">
        <v>44275</v>
      </c>
      <c r="G35" s="49">
        <v>11</v>
      </c>
      <c r="H35" s="51">
        <v>62080312.479999997</v>
      </c>
      <c r="I35" s="51">
        <v>8200000</v>
      </c>
      <c r="J35" s="45"/>
      <c r="K35" s="49">
        <f t="shared" si="3"/>
        <v>0</v>
      </c>
      <c r="L35" s="38">
        <f t="shared" si="4"/>
        <v>13248144.989999995</v>
      </c>
      <c r="M35" s="38">
        <f t="shared" si="5"/>
        <v>660000</v>
      </c>
    </row>
    <row r="36" spans="1:13" x14ac:dyDescent="0.3">
      <c r="A36" s="50">
        <v>43551</v>
      </c>
      <c r="B36" s="49">
        <v>10</v>
      </c>
      <c r="C36" s="51">
        <v>41064238.880000003</v>
      </c>
      <c r="D36" s="51">
        <v>7940000</v>
      </c>
      <c r="F36" s="50">
        <v>44276</v>
      </c>
      <c r="G36" s="49">
        <v>11</v>
      </c>
      <c r="H36" s="51">
        <v>52334749.539999999</v>
      </c>
      <c r="I36" s="51">
        <v>8450000</v>
      </c>
      <c r="J36" s="45"/>
      <c r="K36" s="49">
        <f t="shared" si="3"/>
        <v>1</v>
      </c>
      <c r="L36" s="38">
        <f t="shared" si="4"/>
        <v>11270510.659999996</v>
      </c>
      <c r="M36" s="38">
        <f t="shared" si="5"/>
        <v>-510000</v>
      </c>
    </row>
    <row r="37" spans="1:13" x14ac:dyDescent="0.3">
      <c r="A37" s="50">
        <v>43554</v>
      </c>
      <c r="B37" s="49">
        <v>10</v>
      </c>
      <c r="C37" s="51">
        <v>43069531.659999996</v>
      </c>
      <c r="D37" s="51">
        <v>7872000</v>
      </c>
      <c r="F37" s="50">
        <v>44285</v>
      </c>
      <c r="G37" s="49">
        <v>11</v>
      </c>
      <c r="H37" s="51">
        <v>56713782</v>
      </c>
      <c r="I37" s="51">
        <v>7800000</v>
      </c>
      <c r="J37" s="45"/>
      <c r="K37" s="49">
        <f t="shared" si="3"/>
        <v>1</v>
      </c>
      <c r="L37" s="38">
        <f t="shared" si="4"/>
        <v>13644250.340000004</v>
      </c>
      <c r="M37" s="38">
        <f t="shared" si="5"/>
        <v>72000</v>
      </c>
    </row>
    <row r="38" spans="1:13" x14ac:dyDescent="0.3">
      <c r="A38" s="50"/>
      <c r="B38" s="49"/>
      <c r="C38" s="51"/>
      <c r="D38" s="51"/>
      <c r="F38" s="50"/>
      <c r="G38" s="49"/>
      <c r="H38" s="51"/>
      <c r="I38" s="38"/>
      <c r="J38" s="45"/>
      <c r="K38" s="49">
        <f t="shared" si="3"/>
        <v>0</v>
      </c>
      <c r="L38" s="38"/>
      <c r="M38" s="38"/>
    </row>
    <row r="39" spans="1:13" x14ac:dyDescent="0.3">
      <c r="A39" s="50"/>
      <c r="B39" s="49"/>
      <c r="C39" s="51"/>
      <c r="D39" s="51"/>
      <c r="F39" s="50"/>
      <c r="G39" s="49"/>
      <c r="H39" s="51"/>
      <c r="I39" s="43"/>
      <c r="J39" s="45"/>
      <c r="K39" s="49"/>
      <c r="L39" s="38"/>
      <c r="M39" s="38"/>
    </row>
    <row r="40" spans="1:13" ht="15" thickBot="1" x14ac:dyDescent="0.4">
      <c r="A40" s="52" t="s">
        <v>66</v>
      </c>
      <c r="B40" s="52">
        <f>SUM(B31:B39)</f>
        <v>74</v>
      </c>
      <c r="C40" s="39">
        <f>SUM(C31:C39)</f>
        <v>317841773.93000007</v>
      </c>
      <c r="D40" s="54">
        <f>SUM(D31:D39)</f>
        <v>57112000</v>
      </c>
      <c r="F40" s="52" t="s">
        <v>66</v>
      </c>
      <c r="G40" s="52">
        <f>SUM(G31:G39)</f>
        <v>70</v>
      </c>
      <c r="H40" s="39">
        <f>SUM(H31:H39)</f>
        <v>375145942.61000001</v>
      </c>
      <c r="I40" s="39">
        <f>SUM(I31:I39)</f>
        <v>55920000</v>
      </c>
      <c r="J40" s="46"/>
      <c r="K40" s="14">
        <f>G40-B40</f>
        <v>-4</v>
      </c>
      <c r="L40" s="39">
        <f>SUM(L31:L39)</f>
        <v>57304168.68</v>
      </c>
      <c r="M40" s="39">
        <f>SUM(M31:M39)</f>
        <v>1192000</v>
      </c>
    </row>
    <row r="41" spans="1:13" ht="13.5" thickTop="1" x14ac:dyDescent="0.3">
      <c r="A41" s="49" t="s">
        <v>75</v>
      </c>
      <c r="B41" s="55"/>
      <c r="C41" s="40"/>
      <c r="D41" s="40"/>
      <c r="F41" s="58"/>
      <c r="G41" s="56"/>
      <c r="H41" s="57"/>
      <c r="I41" s="57"/>
      <c r="J41" s="46"/>
      <c r="K41" s="49"/>
      <c r="L41" s="40"/>
      <c r="M41" s="40"/>
    </row>
    <row r="42" spans="1:13" x14ac:dyDescent="0.3">
      <c r="A42" s="65" t="s">
        <v>72</v>
      </c>
      <c r="B42" s="62">
        <f>SUM(B31:B39)/COUNT(B31:B39)</f>
        <v>10.571428571428571</v>
      </c>
      <c r="C42" s="63">
        <f>SUM(C31:C39)/COUNT(C31:C39)</f>
        <v>45405967.704285726</v>
      </c>
      <c r="D42" s="63">
        <f>SUM(D31:D39)/COUNT(D31:D39)</f>
        <v>8158857.1428571427</v>
      </c>
      <c r="F42" s="59"/>
      <c r="G42" s="60">
        <f>SUM(G31:G39)/COUNT(G31:G39)</f>
        <v>10</v>
      </c>
      <c r="H42" s="61">
        <f>SUM(H31:H39)/COUNT(H31:H39)</f>
        <v>53592277.515714288</v>
      </c>
      <c r="I42" s="61">
        <f>SUM(I31:I39)/COUNT(I31:I39)</f>
        <v>7988571.4285714282</v>
      </c>
      <c r="J42" s="48"/>
      <c r="K42" s="62">
        <f>SUM(K31:K39)/COUNT(K31:K39)</f>
        <v>-0.5</v>
      </c>
      <c r="L42" s="63">
        <f>SUM(L31:L39)/COUNT(L31:L39)</f>
        <v>8186309.8114285711</v>
      </c>
      <c r="M42" s="63">
        <f>SUM(M31:M39)/COUNT(M31:M39)</f>
        <v>170285.71428571429</v>
      </c>
    </row>
    <row r="44" spans="1:13" x14ac:dyDescent="0.3">
      <c r="A44" s="34" t="s">
        <v>71</v>
      </c>
    </row>
    <row r="45" spans="1:13" ht="29.5" thickBot="1" x14ac:dyDescent="0.4">
      <c r="A45" s="76" t="s">
        <v>70</v>
      </c>
      <c r="B45" s="76" t="s">
        <v>69</v>
      </c>
      <c r="C45" s="76" t="s">
        <v>65</v>
      </c>
      <c r="D45" s="76"/>
      <c r="F45" s="76" t="s">
        <v>70</v>
      </c>
      <c r="G45" s="76" t="s">
        <v>69</v>
      </c>
      <c r="H45" s="76" t="s">
        <v>65</v>
      </c>
      <c r="I45" s="76" t="s">
        <v>74</v>
      </c>
      <c r="J45" s="77"/>
      <c r="K45" s="66" t="s">
        <v>78</v>
      </c>
      <c r="L45" s="67" t="s">
        <v>76</v>
      </c>
      <c r="M45" s="67" t="s">
        <v>77</v>
      </c>
    </row>
    <row r="46" spans="1:13" x14ac:dyDescent="0.3">
      <c r="A46" s="73">
        <v>43526</v>
      </c>
      <c r="B46" s="68">
        <v>2</v>
      </c>
      <c r="C46" s="74">
        <v>27143968.199999999</v>
      </c>
      <c r="D46" s="74"/>
      <c r="F46" s="73">
        <v>44261</v>
      </c>
      <c r="G46" s="68">
        <v>6</v>
      </c>
      <c r="H46" s="74">
        <v>59141786.640000001</v>
      </c>
      <c r="I46" s="69"/>
      <c r="J46" s="45"/>
      <c r="K46" s="68">
        <f>G46-B46</f>
        <v>4</v>
      </c>
      <c r="L46" s="69">
        <f t="shared" ref="L46:L51" si="6">H46-C46</f>
        <v>31997818.440000001</v>
      </c>
      <c r="M46" s="69"/>
    </row>
    <row r="47" spans="1:13" x14ac:dyDescent="0.3">
      <c r="A47" s="73">
        <v>43533</v>
      </c>
      <c r="B47" s="68">
        <v>7</v>
      </c>
      <c r="C47" s="74">
        <v>62941848.5</v>
      </c>
      <c r="D47" s="74"/>
      <c r="F47" s="73">
        <v>44268</v>
      </c>
      <c r="G47" s="68">
        <v>7</v>
      </c>
      <c r="H47" s="74">
        <v>61991609.170000002</v>
      </c>
      <c r="I47" s="69"/>
      <c r="J47" s="45"/>
      <c r="K47" s="68">
        <f>G47-B47</f>
        <v>0</v>
      </c>
      <c r="L47" s="69">
        <f t="shared" si="6"/>
        <v>-950239.32999999821</v>
      </c>
      <c r="M47" s="69"/>
    </row>
    <row r="48" spans="1:13" x14ac:dyDescent="0.3">
      <c r="A48" s="73">
        <v>43540</v>
      </c>
      <c r="B48" s="68">
        <v>7</v>
      </c>
      <c r="C48" s="74">
        <v>63445771.799999997</v>
      </c>
      <c r="D48" s="74"/>
      <c r="F48" s="73">
        <v>44275</v>
      </c>
      <c r="G48" s="68">
        <v>7</v>
      </c>
      <c r="H48" s="74">
        <v>64185625.25</v>
      </c>
      <c r="I48" s="69"/>
      <c r="J48" s="45"/>
      <c r="K48" s="68">
        <f>G48-B48</f>
        <v>0</v>
      </c>
      <c r="L48" s="69">
        <f t="shared" si="6"/>
        <v>739853.45000000298</v>
      </c>
      <c r="M48" s="69"/>
    </row>
    <row r="49" spans="1:13" x14ac:dyDescent="0.3">
      <c r="A49" s="73">
        <v>43547</v>
      </c>
      <c r="B49" s="68">
        <v>7</v>
      </c>
      <c r="C49" s="74">
        <v>58946467.079999998</v>
      </c>
      <c r="D49" s="74"/>
      <c r="F49" s="73">
        <v>44282</v>
      </c>
      <c r="G49" s="68">
        <v>7</v>
      </c>
      <c r="H49" s="74">
        <v>42450826.079999998</v>
      </c>
      <c r="I49" s="69"/>
      <c r="J49" s="45"/>
      <c r="K49" s="68">
        <f>G49-B49</f>
        <v>0</v>
      </c>
      <c r="L49" s="69">
        <f t="shared" si="6"/>
        <v>-16495641</v>
      </c>
      <c r="M49" s="69"/>
    </row>
    <row r="50" spans="1:13" x14ac:dyDescent="0.3">
      <c r="A50" s="73">
        <v>43554</v>
      </c>
      <c r="B50" s="68">
        <v>7</v>
      </c>
      <c r="C50" s="74">
        <v>63450897.57</v>
      </c>
      <c r="D50" s="74"/>
      <c r="F50" s="73">
        <v>44286</v>
      </c>
      <c r="G50" s="68">
        <v>4</v>
      </c>
      <c r="H50" s="74">
        <f>8870999.39+8200000</f>
        <v>17070999.390000001</v>
      </c>
      <c r="I50" s="69"/>
      <c r="J50" s="45"/>
      <c r="K50" s="68">
        <f>G50-B50</f>
        <v>-3</v>
      </c>
      <c r="L50" s="69">
        <f t="shared" si="6"/>
        <v>-46379898.18</v>
      </c>
      <c r="M50" s="69"/>
    </row>
    <row r="51" spans="1:13" x14ac:dyDescent="0.3">
      <c r="A51" s="73">
        <v>43555</v>
      </c>
      <c r="B51" s="68">
        <v>1</v>
      </c>
      <c r="C51" s="74">
        <v>9551264.8800000008</v>
      </c>
      <c r="D51" s="74"/>
      <c r="F51" s="73"/>
      <c r="G51" s="68"/>
      <c r="H51" s="74"/>
      <c r="I51" s="69"/>
      <c r="J51" s="45"/>
      <c r="K51" s="68"/>
      <c r="L51" s="69">
        <f t="shared" si="6"/>
        <v>-9551264.8800000008</v>
      </c>
      <c r="M51" s="69"/>
    </row>
    <row r="52" spans="1:13" ht="13.5" thickBot="1" x14ac:dyDescent="0.35">
      <c r="A52" s="75" t="s">
        <v>66</v>
      </c>
      <c r="B52" s="75">
        <f>SUM(B46:B51)</f>
        <v>31</v>
      </c>
      <c r="C52" s="70">
        <f>SUM(C46:C51)</f>
        <v>285480218.02999997</v>
      </c>
      <c r="D52" s="70"/>
      <c r="F52" s="75" t="s">
        <v>66</v>
      </c>
      <c r="G52" s="75">
        <f>SUM(G46:G51)</f>
        <v>31</v>
      </c>
      <c r="H52" s="70">
        <f>SUM(H46:H51)</f>
        <v>244840846.52999997</v>
      </c>
      <c r="I52" s="70"/>
      <c r="J52" s="46"/>
      <c r="K52" s="68">
        <f>SUM(K46:K51)</f>
        <v>1</v>
      </c>
      <c r="L52" s="70">
        <f>SUM(L46:L51)</f>
        <v>-40639371.499999993</v>
      </c>
      <c r="M52" s="70"/>
    </row>
    <row r="53" spans="1:13" ht="13.5" thickTop="1" x14ac:dyDescent="0.3">
      <c r="A53" s="68"/>
      <c r="B53" s="68"/>
      <c r="C53" s="74"/>
      <c r="D53" s="74"/>
      <c r="F53" s="68"/>
      <c r="G53" s="68"/>
      <c r="H53" s="68"/>
      <c r="I53" s="68"/>
      <c r="K53" s="68"/>
      <c r="L53" s="68"/>
      <c r="M53" s="68"/>
    </row>
    <row r="54" spans="1:13" ht="13.5" thickBot="1" x14ac:dyDescent="0.35">
      <c r="A54" s="71" t="s">
        <v>67</v>
      </c>
      <c r="B54" s="71"/>
      <c r="C54" s="72">
        <f>C40+C52</f>
        <v>603321991.96000004</v>
      </c>
      <c r="D54" s="72"/>
      <c r="E54" s="41"/>
      <c r="F54" s="71" t="s">
        <v>67</v>
      </c>
      <c r="G54" s="71"/>
      <c r="H54" s="72">
        <f>H52+H40</f>
        <v>619986789.13999999</v>
      </c>
      <c r="I54" s="72"/>
      <c r="J54" s="46"/>
      <c r="K54" s="71"/>
      <c r="L54" s="72">
        <f>L52+L40</f>
        <v>16664797.180000007</v>
      </c>
      <c r="M54" s="72"/>
    </row>
    <row r="55" spans="1:13" ht="13.5" thickTop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D811-6E5E-4B7A-A5FD-1E62D0BDABB6}">
  <dimension ref="A1:M55"/>
  <sheetViews>
    <sheetView workbookViewId="0">
      <selection activeCell="F18" sqref="F18:H22"/>
    </sheetView>
  </sheetViews>
  <sheetFormatPr defaultRowHeight="13" x14ac:dyDescent="0.3"/>
  <cols>
    <col min="1" max="1" width="26" style="35" customWidth="1"/>
    <col min="2" max="2" width="5.90625" style="35" customWidth="1"/>
    <col min="3" max="3" width="15.90625" style="35" bestFit="1" customWidth="1"/>
    <col min="4" max="4" width="13.81640625" style="35" customWidth="1"/>
    <col min="5" max="5" width="2.81640625" style="35" customWidth="1"/>
    <col min="6" max="6" width="26.08984375" style="35" customWidth="1"/>
    <col min="7" max="7" width="6.54296875" style="35" bestFit="1" customWidth="1"/>
    <col min="8" max="8" width="15.6328125" style="35" bestFit="1" customWidth="1"/>
    <col min="9" max="9" width="13.36328125" style="35" bestFit="1" customWidth="1"/>
    <col min="10" max="10" width="3.36328125" style="47" customWidth="1"/>
    <col min="11" max="11" width="5.26953125" style="35" customWidth="1"/>
    <col min="12" max="12" width="14.54296875" style="35" customWidth="1"/>
    <col min="13" max="13" width="13.08984375" style="35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3">
      <c r="A3" s="50">
        <v>43894</v>
      </c>
      <c r="B3" s="49"/>
      <c r="C3" s="51"/>
      <c r="D3" s="51"/>
      <c r="F3" s="50">
        <v>44293</v>
      </c>
      <c r="G3" s="49">
        <v>10</v>
      </c>
      <c r="H3" s="51">
        <v>49148700.090000004</v>
      </c>
      <c r="I3" s="51">
        <v>8670000</v>
      </c>
      <c r="J3" s="45"/>
      <c r="K3" s="49">
        <f t="shared" ref="K3:L11" si="0">G3-B3</f>
        <v>10</v>
      </c>
      <c r="L3" s="38">
        <f t="shared" si="0"/>
        <v>49148700.090000004</v>
      </c>
      <c r="M3" s="38">
        <f>D3-I3</f>
        <v>-8670000</v>
      </c>
    </row>
    <row r="4" spans="1:13" x14ac:dyDescent="0.3">
      <c r="A4" s="50">
        <v>43897</v>
      </c>
      <c r="B4" s="49"/>
      <c r="C4" s="51"/>
      <c r="D4" s="51"/>
      <c r="F4" s="50">
        <v>44294</v>
      </c>
      <c r="G4" s="49">
        <v>9</v>
      </c>
      <c r="H4" s="51">
        <v>42950466.590000004</v>
      </c>
      <c r="I4" s="51">
        <v>7500000</v>
      </c>
      <c r="J4" s="45"/>
      <c r="K4" s="49">
        <f t="shared" si="0"/>
        <v>9</v>
      </c>
      <c r="L4" s="38">
        <f t="shared" si="0"/>
        <v>42950466.590000004</v>
      </c>
      <c r="M4" s="38">
        <f t="shared" ref="M4:M10" si="1">D4-I4</f>
        <v>-7500000</v>
      </c>
    </row>
    <row r="5" spans="1:13" x14ac:dyDescent="0.3">
      <c r="A5" s="50">
        <v>43907</v>
      </c>
      <c r="B5" s="49"/>
      <c r="C5" s="51"/>
      <c r="D5" s="51"/>
      <c r="F5" s="50">
        <v>44296</v>
      </c>
      <c r="G5" s="49"/>
      <c r="H5" s="51"/>
      <c r="I5" s="51"/>
      <c r="J5" s="45"/>
      <c r="K5" s="49">
        <f t="shared" si="0"/>
        <v>0</v>
      </c>
      <c r="L5" s="38">
        <f t="shared" si="0"/>
        <v>0</v>
      </c>
      <c r="M5" s="38">
        <f t="shared" si="1"/>
        <v>0</v>
      </c>
    </row>
    <row r="6" spans="1:13" x14ac:dyDescent="0.3">
      <c r="A6" s="50">
        <v>43911</v>
      </c>
      <c r="B6" s="49"/>
      <c r="C6" s="51"/>
      <c r="D6" s="51"/>
      <c r="F6" s="50">
        <v>44297</v>
      </c>
      <c r="G6" s="49"/>
      <c r="H6" s="51"/>
      <c r="I6" s="51"/>
      <c r="J6" s="45"/>
      <c r="K6" s="49">
        <f t="shared" si="0"/>
        <v>0</v>
      </c>
      <c r="L6" s="38">
        <f t="shared" si="0"/>
        <v>0</v>
      </c>
      <c r="M6" s="38">
        <f t="shared" si="1"/>
        <v>0</v>
      </c>
    </row>
    <row r="7" spans="1:13" x14ac:dyDescent="0.3">
      <c r="A7" s="50"/>
      <c r="B7" s="49"/>
      <c r="C7" s="51"/>
      <c r="D7" s="51"/>
      <c r="F7" s="50">
        <v>44303</v>
      </c>
      <c r="G7" s="49">
        <v>10</v>
      </c>
      <c r="H7" s="51">
        <v>57859613.960000001</v>
      </c>
      <c r="I7" s="51">
        <v>6940000</v>
      </c>
      <c r="J7" s="45"/>
      <c r="K7" s="49">
        <f t="shared" si="0"/>
        <v>10</v>
      </c>
      <c r="L7" s="38">
        <f t="shared" si="0"/>
        <v>57859613.960000001</v>
      </c>
      <c r="M7" s="38">
        <f t="shared" si="1"/>
        <v>-6940000</v>
      </c>
    </row>
    <row r="8" spans="1:13" x14ac:dyDescent="0.3">
      <c r="A8" s="50"/>
      <c r="B8" s="49"/>
      <c r="C8" s="51"/>
      <c r="D8" s="51"/>
      <c r="F8" s="50">
        <v>44305</v>
      </c>
      <c r="G8" s="49">
        <v>8</v>
      </c>
      <c r="H8" s="51">
        <v>39668992</v>
      </c>
      <c r="I8" s="51">
        <v>5480000</v>
      </c>
      <c r="J8" s="45"/>
      <c r="K8" s="49">
        <f t="shared" si="0"/>
        <v>8</v>
      </c>
      <c r="L8" s="38">
        <f t="shared" si="0"/>
        <v>39668992</v>
      </c>
      <c r="M8" s="38">
        <f t="shared" si="1"/>
        <v>-5480000</v>
      </c>
    </row>
    <row r="9" spans="1:13" x14ac:dyDescent="0.3">
      <c r="A9" s="50"/>
      <c r="B9" s="49"/>
      <c r="C9" s="51"/>
      <c r="D9" s="51"/>
      <c r="F9" s="50">
        <v>44309</v>
      </c>
      <c r="G9" s="49">
        <v>8</v>
      </c>
      <c r="H9" s="51">
        <f>'[1]APR 23'!$B$43</f>
        <v>43155211.539999999</v>
      </c>
      <c r="I9" s="51">
        <v>7960000</v>
      </c>
      <c r="J9" s="45"/>
      <c r="K9" s="49">
        <f t="shared" si="0"/>
        <v>8</v>
      </c>
      <c r="L9" s="38">
        <f t="shared" si="0"/>
        <v>43155211.539999999</v>
      </c>
      <c r="M9" s="38">
        <f t="shared" si="1"/>
        <v>-7960000</v>
      </c>
    </row>
    <row r="10" spans="1:13" x14ac:dyDescent="0.3">
      <c r="A10" s="50"/>
      <c r="B10" s="49"/>
      <c r="C10" s="51"/>
      <c r="D10" s="51"/>
      <c r="F10" s="50">
        <v>44310</v>
      </c>
      <c r="G10" s="49">
        <v>10</v>
      </c>
      <c r="H10" s="51">
        <f>'[1]APR 24'!$B$43</f>
        <v>47512502.460000001</v>
      </c>
      <c r="I10" s="38">
        <v>7210000</v>
      </c>
      <c r="J10" s="45"/>
      <c r="K10" s="49">
        <f t="shared" si="0"/>
        <v>10</v>
      </c>
      <c r="L10" s="38"/>
      <c r="M10" s="38">
        <f t="shared" si="1"/>
        <v>-7210000</v>
      </c>
    </row>
    <row r="11" spans="1:13" x14ac:dyDescent="0.3">
      <c r="A11" s="50"/>
      <c r="B11" s="49"/>
      <c r="C11" s="51"/>
      <c r="D11" s="51"/>
      <c r="F11" s="50">
        <v>44316</v>
      </c>
      <c r="G11" s="49">
        <v>8</v>
      </c>
      <c r="H11" s="51">
        <f>'[1]APR 30'!$B$43</f>
        <v>40964383.850000001</v>
      </c>
      <c r="I11" s="43"/>
      <c r="J11" s="45"/>
      <c r="K11" s="49">
        <f t="shared" si="0"/>
        <v>8</v>
      </c>
      <c r="L11" s="38"/>
      <c r="M11" s="38"/>
    </row>
    <row r="12" spans="1:13" ht="15" thickBot="1" x14ac:dyDescent="0.4">
      <c r="A12" s="52" t="s">
        <v>66</v>
      </c>
      <c r="B12" s="52">
        <f>SUM(B3:B11)</f>
        <v>0</v>
      </c>
      <c r="C12" s="39">
        <f>SUM(C3:C11)</f>
        <v>0</v>
      </c>
      <c r="D12" s="54">
        <f>SUM(D3:D11)</f>
        <v>0</v>
      </c>
      <c r="F12" s="52" t="s">
        <v>66</v>
      </c>
      <c r="G12" s="52">
        <f>SUM(G3:G11)</f>
        <v>63</v>
      </c>
      <c r="H12" s="39">
        <f>SUM(H3:H11)</f>
        <v>321259870.49000001</v>
      </c>
      <c r="I12" s="39">
        <f>SUM(I3:I11)</f>
        <v>43760000</v>
      </c>
      <c r="J12" s="46"/>
      <c r="K12" s="14">
        <f>G12-B12</f>
        <v>63</v>
      </c>
      <c r="L12" s="39">
        <f>SUM(L3:L11)</f>
        <v>232782984.18000001</v>
      </c>
      <c r="M12" s="39">
        <f>SUM(M3:M11)</f>
        <v>-43760000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 t="e">
        <f>SUM(B3:B11)/COUNT(B3:B11)</f>
        <v>#DIV/0!</v>
      </c>
      <c r="C14" s="63" t="e">
        <f>SUM(C3:C11)/COUNT(C3:C11)</f>
        <v>#DIV/0!</v>
      </c>
      <c r="D14" s="63" t="e">
        <f>SUM(D3:D11)/COUNT(D3:D11)</f>
        <v>#DIV/0!</v>
      </c>
      <c r="F14" s="59"/>
      <c r="G14" s="60">
        <f>SUM(G3:G11)/COUNT(G3:G11)</f>
        <v>9</v>
      </c>
      <c r="H14" s="61">
        <f>SUM(H3:H11)/COUNT(H3:H11)</f>
        <v>45894267.212857142</v>
      </c>
      <c r="I14" s="61">
        <f>SUM(I3:I11)/COUNT(I3:I11)</f>
        <v>7293333.333333333</v>
      </c>
      <c r="J14" s="48"/>
      <c r="K14" s="62">
        <f>SUM(K3:K11)/COUNT(K3:K11)</f>
        <v>7</v>
      </c>
      <c r="L14" s="63">
        <f>SUM(L3:L11)/COUNT(L3:L11)</f>
        <v>33254712.025714286</v>
      </c>
      <c r="M14" s="63">
        <f>SUM(M3:M11)/COUNT(M3:M11)</f>
        <v>-5470000</v>
      </c>
    </row>
    <row r="16" spans="1:13" x14ac:dyDescent="0.3">
      <c r="A16" s="34" t="s">
        <v>71</v>
      </c>
    </row>
    <row r="17" spans="1:13" ht="29.5" thickBot="1" x14ac:dyDescent="0.4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3">
      <c r="A18" s="73">
        <v>43897</v>
      </c>
      <c r="B18" s="68">
        <v>7</v>
      </c>
      <c r="C18" s="74">
        <v>69254037.079999998</v>
      </c>
      <c r="D18" s="74"/>
      <c r="F18" s="73">
        <v>44289</v>
      </c>
      <c r="G18" s="68">
        <v>3</v>
      </c>
      <c r="H18" s="74">
        <v>0</v>
      </c>
      <c r="I18" s="69"/>
      <c r="J18" s="45"/>
      <c r="K18" s="68">
        <f t="shared" ref="K18:L23" si="2">G18-B18</f>
        <v>-4</v>
      </c>
      <c r="L18" s="69">
        <f t="shared" si="2"/>
        <v>-69254037.079999998</v>
      </c>
      <c r="M18" s="69"/>
    </row>
    <row r="19" spans="1:13" x14ac:dyDescent="0.3">
      <c r="A19" s="73">
        <v>43904</v>
      </c>
      <c r="B19" s="68">
        <v>7</v>
      </c>
      <c r="C19" s="74">
        <v>63352670.950000003</v>
      </c>
      <c r="D19" s="74"/>
      <c r="F19" s="73">
        <v>44296</v>
      </c>
      <c r="G19" s="68">
        <v>7</v>
      </c>
      <c r="H19" s="74">
        <f>15017890.22+9083142.34</f>
        <v>24101032.560000002</v>
      </c>
      <c r="I19" s="69"/>
      <c r="J19" s="45"/>
      <c r="K19" s="68">
        <f t="shared" si="2"/>
        <v>0</v>
      </c>
      <c r="L19" s="69">
        <f t="shared" si="2"/>
        <v>-39251638.390000001</v>
      </c>
      <c r="M19" s="69"/>
    </row>
    <row r="20" spans="1:13" x14ac:dyDescent="0.3">
      <c r="A20" s="73">
        <v>43911</v>
      </c>
      <c r="B20" s="68">
        <v>7</v>
      </c>
      <c r="C20" s="74">
        <v>31393299.989999998</v>
      </c>
      <c r="D20" s="74"/>
      <c r="F20" s="73">
        <v>44303</v>
      </c>
      <c r="G20" s="68">
        <v>7</v>
      </c>
      <c r="H20" s="74"/>
      <c r="I20" s="69"/>
      <c r="J20" s="45"/>
      <c r="K20" s="68">
        <f t="shared" si="2"/>
        <v>0</v>
      </c>
      <c r="L20" s="69">
        <f t="shared" si="2"/>
        <v>-31393299.989999998</v>
      </c>
      <c r="M20" s="69"/>
    </row>
    <row r="21" spans="1:13" x14ac:dyDescent="0.3">
      <c r="A21" s="73">
        <v>43918</v>
      </c>
      <c r="B21" s="68">
        <v>7</v>
      </c>
      <c r="C21" s="74"/>
      <c r="D21" s="74"/>
      <c r="F21" s="73">
        <v>44310</v>
      </c>
      <c r="G21" s="68">
        <v>7</v>
      </c>
      <c r="H21" s="74"/>
      <c r="I21" s="69"/>
      <c r="J21" s="45"/>
      <c r="K21" s="68">
        <f t="shared" si="2"/>
        <v>0</v>
      </c>
      <c r="L21" s="69">
        <f t="shared" si="2"/>
        <v>0</v>
      </c>
      <c r="M21" s="69"/>
    </row>
    <row r="22" spans="1:13" x14ac:dyDescent="0.3">
      <c r="A22" s="73">
        <v>43921</v>
      </c>
      <c r="B22" s="68">
        <v>3</v>
      </c>
      <c r="C22" s="74"/>
      <c r="D22" s="74"/>
      <c r="F22" s="73">
        <v>44316</v>
      </c>
      <c r="G22" s="68">
        <v>6</v>
      </c>
      <c r="H22" s="74"/>
      <c r="I22" s="69"/>
      <c r="J22" s="45"/>
      <c r="K22" s="68">
        <f t="shared" si="2"/>
        <v>3</v>
      </c>
      <c r="L22" s="69">
        <f t="shared" si="2"/>
        <v>0</v>
      </c>
      <c r="M22" s="69"/>
    </row>
    <row r="23" spans="1:13" x14ac:dyDescent="0.3">
      <c r="A23" s="73"/>
      <c r="B23" s="68"/>
      <c r="C23" s="74"/>
      <c r="D23" s="74"/>
      <c r="F23" s="73"/>
      <c r="G23" s="68"/>
      <c r="H23" s="74"/>
      <c r="I23" s="69"/>
      <c r="J23" s="45"/>
      <c r="K23" s="68"/>
      <c r="L23" s="69">
        <f t="shared" si="2"/>
        <v>0</v>
      </c>
      <c r="M23" s="69"/>
    </row>
    <row r="24" spans="1:13" ht="13.5" thickBot="1" x14ac:dyDescent="0.35">
      <c r="A24" s="75" t="s">
        <v>66</v>
      </c>
      <c r="B24" s="75">
        <f>SUM(B18:B22)</f>
        <v>31</v>
      </c>
      <c r="C24" s="70">
        <f>SUM(C18:C22)</f>
        <v>164000008.02000001</v>
      </c>
      <c r="D24" s="70"/>
      <c r="F24" s="75" t="s">
        <v>66</v>
      </c>
      <c r="G24" s="75">
        <f>SUM(G18:G23)</f>
        <v>30</v>
      </c>
      <c r="H24" s="70">
        <f>SUM(H18:H23)</f>
        <v>24101032.560000002</v>
      </c>
      <c r="I24" s="70"/>
      <c r="J24" s="46"/>
      <c r="K24" s="68">
        <f>SUM(K18:K23)</f>
        <v>-1</v>
      </c>
      <c r="L24" s="70">
        <f>SUM(L18:L23)</f>
        <v>-139898975.46000001</v>
      </c>
      <c r="M24" s="70"/>
    </row>
    <row r="25" spans="1:13" ht="13.5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35">
      <c r="A26" s="71" t="s">
        <v>67</v>
      </c>
      <c r="B26" s="71"/>
      <c r="C26" s="72">
        <f>C12+C24</f>
        <v>164000008.02000001</v>
      </c>
      <c r="D26" s="72"/>
      <c r="E26" s="41"/>
      <c r="F26" s="71" t="s">
        <v>67</v>
      </c>
      <c r="G26" s="71"/>
      <c r="H26" s="72">
        <f>H24+H12</f>
        <v>345360903.05000001</v>
      </c>
      <c r="I26" s="72"/>
      <c r="J26" s="46"/>
      <c r="K26" s="71"/>
      <c r="L26" s="72">
        <f>L24+L12</f>
        <v>92884008.719999999</v>
      </c>
      <c r="M26" s="72"/>
    </row>
    <row r="27" spans="1:13" ht="13.5" thickTop="1" x14ac:dyDescent="0.3"/>
    <row r="29" spans="1:13" x14ac:dyDescent="0.3">
      <c r="A29" s="34" t="s">
        <v>73</v>
      </c>
    </row>
    <row r="30" spans="1:13" ht="30" thickBot="1" x14ac:dyDescent="0.45">
      <c r="A30" s="37" t="s">
        <v>63</v>
      </c>
      <c r="B30" s="37" t="s">
        <v>64</v>
      </c>
      <c r="C30" s="37" t="s">
        <v>65</v>
      </c>
      <c r="D30" s="53" t="s">
        <v>74</v>
      </c>
      <c r="E30" s="36"/>
      <c r="F30" s="37" t="s">
        <v>63</v>
      </c>
      <c r="G30" s="37" t="s">
        <v>64</v>
      </c>
      <c r="H30" s="37" t="s">
        <v>65</v>
      </c>
      <c r="I30" s="18" t="s">
        <v>74</v>
      </c>
      <c r="J30" s="44"/>
      <c r="K30" s="64" t="s">
        <v>78</v>
      </c>
      <c r="L30" s="37" t="s">
        <v>76</v>
      </c>
      <c r="M30" s="37" t="s">
        <v>77</v>
      </c>
    </row>
    <row r="31" spans="1:13" ht="13.5" thickTop="1" x14ac:dyDescent="0.3">
      <c r="A31" s="50">
        <v>43558</v>
      </c>
      <c r="B31" s="49">
        <v>10</v>
      </c>
      <c r="C31" s="79">
        <v>34889109.240000002</v>
      </c>
      <c r="D31" s="51">
        <v>7239000</v>
      </c>
      <c r="F31" s="50">
        <v>44293</v>
      </c>
      <c r="G31" s="49">
        <v>10</v>
      </c>
      <c r="H31" s="51">
        <v>49148700.090000004</v>
      </c>
      <c r="I31" s="51">
        <v>8670000</v>
      </c>
      <c r="J31" s="45"/>
      <c r="K31" s="49">
        <f t="shared" ref="K31:L38" si="3">G31-B31</f>
        <v>0</v>
      </c>
      <c r="L31" s="38">
        <f t="shared" si="3"/>
        <v>14259590.850000001</v>
      </c>
      <c r="M31" s="38">
        <f>D31-I31</f>
        <v>-1431000</v>
      </c>
    </row>
    <row r="32" spans="1:13" x14ac:dyDescent="0.3">
      <c r="A32" s="50">
        <v>43561</v>
      </c>
      <c r="B32" s="49">
        <v>11</v>
      </c>
      <c r="C32" s="80">
        <v>46014073.130000003</v>
      </c>
      <c r="D32" s="51">
        <v>8137600</v>
      </c>
      <c r="F32" s="50">
        <v>44294</v>
      </c>
      <c r="G32" s="49">
        <v>9</v>
      </c>
      <c r="H32" s="51">
        <v>42950466.590000004</v>
      </c>
      <c r="I32" s="51">
        <v>7500000</v>
      </c>
      <c r="J32" s="45"/>
      <c r="K32" s="49">
        <f t="shared" si="3"/>
        <v>-2</v>
      </c>
      <c r="L32" s="38">
        <f t="shared" si="3"/>
        <v>-3063606.5399999991</v>
      </c>
      <c r="M32" s="38">
        <f t="shared" ref="M32:M37" si="4">D32-I32</f>
        <v>637600</v>
      </c>
    </row>
    <row r="33" spans="1:13" x14ac:dyDescent="0.3">
      <c r="A33" s="50">
        <v>43568</v>
      </c>
      <c r="B33" s="49">
        <v>11</v>
      </c>
      <c r="C33" s="81">
        <v>56411637.600000001</v>
      </c>
      <c r="D33" s="51">
        <v>11350000</v>
      </c>
      <c r="F33" s="50">
        <v>44296</v>
      </c>
      <c r="G33" s="49"/>
      <c r="H33" s="51"/>
      <c r="I33" s="51"/>
      <c r="J33" s="45"/>
      <c r="K33" s="49">
        <f t="shared" si="3"/>
        <v>-11</v>
      </c>
      <c r="L33" s="38">
        <f t="shared" si="3"/>
        <v>-56411637.600000001</v>
      </c>
      <c r="M33" s="38">
        <f t="shared" si="4"/>
        <v>11350000</v>
      </c>
    </row>
    <row r="34" spans="1:13" x14ac:dyDescent="0.3">
      <c r="A34" s="50">
        <v>43569</v>
      </c>
      <c r="B34" s="49">
        <v>10</v>
      </c>
      <c r="C34" s="81">
        <v>43052807.030000001</v>
      </c>
      <c r="D34" s="51">
        <v>9860000</v>
      </c>
      <c r="F34" s="50">
        <v>44297</v>
      </c>
      <c r="G34" s="49"/>
      <c r="H34" s="51"/>
      <c r="I34" s="51"/>
      <c r="J34" s="45"/>
      <c r="K34" s="49">
        <f t="shared" si="3"/>
        <v>-10</v>
      </c>
      <c r="L34" s="38">
        <f t="shared" si="3"/>
        <v>-43052807.030000001</v>
      </c>
      <c r="M34" s="38">
        <f t="shared" si="4"/>
        <v>9860000</v>
      </c>
    </row>
    <row r="35" spans="1:13" x14ac:dyDescent="0.3">
      <c r="A35" s="50">
        <v>43575</v>
      </c>
      <c r="B35" s="49">
        <v>10</v>
      </c>
      <c r="C35" s="81">
        <v>52014319.060000002</v>
      </c>
      <c r="D35" s="51">
        <v>7630000</v>
      </c>
      <c r="F35" s="50">
        <v>44303</v>
      </c>
      <c r="G35" s="49">
        <v>10</v>
      </c>
      <c r="H35" s="51">
        <f>H7</f>
        <v>57859613.960000001</v>
      </c>
      <c r="I35" s="51">
        <f>I7</f>
        <v>6940000</v>
      </c>
      <c r="J35" s="45"/>
      <c r="K35" s="49">
        <f t="shared" si="3"/>
        <v>0</v>
      </c>
      <c r="L35" s="38">
        <f t="shared" si="3"/>
        <v>5845294.8999999985</v>
      </c>
      <c r="M35" s="38">
        <f t="shared" si="4"/>
        <v>690000</v>
      </c>
    </row>
    <row r="36" spans="1:13" x14ac:dyDescent="0.3">
      <c r="A36" s="50">
        <v>43577</v>
      </c>
      <c r="B36" s="49">
        <v>10</v>
      </c>
      <c r="C36" s="81">
        <v>50504590.890000001</v>
      </c>
      <c r="D36" s="51">
        <v>7563100</v>
      </c>
      <c r="F36" s="50">
        <v>44305</v>
      </c>
      <c r="G36" s="49">
        <v>8</v>
      </c>
      <c r="H36" s="51">
        <f>H8</f>
        <v>39668992</v>
      </c>
      <c r="I36" s="51">
        <f>I8</f>
        <v>5480000</v>
      </c>
      <c r="J36" s="45"/>
      <c r="K36" s="49">
        <f t="shared" si="3"/>
        <v>-2</v>
      </c>
      <c r="L36" s="38">
        <f t="shared" si="3"/>
        <v>-10835598.890000001</v>
      </c>
      <c r="M36" s="38">
        <f t="shared" si="4"/>
        <v>2083100</v>
      </c>
    </row>
    <row r="37" spans="1:13" x14ac:dyDescent="0.3">
      <c r="A37" s="50">
        <v>43582</v>
      </c>
      <c r="B37" s="49">
        <v>10</v>
      </c>
      <c r="C37" s="80">
        <v>47543225.93</v>
      </c>
      <c r="D37" s="51">
        <v>7140000</v>
      </c>
      <c r="F37" s="50">
        <v>44310</v>
      </c>
      <c r="G37" s="49">
        <v>10</v>
      </c>
      <c r="H37" s="51"/>
      <c r="I37" s="51">
        <v>7960000</v>
      </c>
      <c r="J37" s="45"/>
      <c r="K37" s="49">
        <f t="shared" si="3"/>
        <v>0</v>
      </c>
      <c r="L37" s="38">
        <f t="shared" si="3"/>
        <v>-47543225.93</v>
      </c>
      <c r="M37" s="38">
        <f t="shared" si="4"/>
        <v>-820000</v>
      </c>
    </row>
    <row r="38" spans="1:13" x14ac:dyDescent="0.3">
      <c r="A38" s="50"/>
      <c r="B38" s="49"/>
      <c r="C38" s="51"/>
      <c r="D38" s="51"/>
      <c r="F38" s="50">
        <v>44311</v>
      </c>
      <c r="G38" s="49">
        <v>10</v>
      </c>
      <c r="H38" s="51"/>
      <c r="I38" s="38">
        <v>7210000</v>
      </c>
      <c r="J38" s="45"/>
      <c r="K38" s="49">
        <f t="shared" si="3"/>
        <v>10</v>
      </c>
      <c r="L38" s="38"/>
      <c r="M38" s="38"/>
    </row>
    <row r="39" spans="1:13" x14ac:dyDescent="0.3">
      <c r="A39" s="50"/>
      <c r="B39" s="49"/>
      <c r="C39" s="51"/>
      <c r="D39" s="51"/>
      <c r="F39" s="50"/>
      <c r="G39" s="49"/>
      <c r="H39" s="51"/>
      <c r="I39" s="43"/>
      <c r="J39" s="45"/>
      <c r="K39" s="49"/>
      <c r="L39" s="38"/>
      <c r="M39" s="38"/>
    </row>
    <row r="40" spans="1:13" ht="15" thickBot="1" x14ac:dyDescent="0.4">
      <c r="A40" s="52" t="s">
        <v>66</v>
      </c>
      <c r="B40" s="52">
        <f>SUM(B31:B39)</f>
        <v>72</v>
      </c>
      <c r="C40" s="39">
        <f>SUM(C31:C39)</f>
        <v>330429762.88</v>
      </c>
      <c r="D40" s="54">
        <f>SUM(D31:D39)</f>
        <v>58919700</v>
      </c>
      <c r="F40" s="52" t="s">
        <v>66</v>
      </c>
      <c r="G40" s="52">
        <f>SUM(G31:G39)</f>
        <v>57</v>
      </c>
      <c r="H40" s="39">
        <f>SUM(H31:H39)</f>
        <v>189627772.64000002</v>
      </c>
      <c r="I40" s="39">
        <f>SUM(I31:I39)</f>
        <v>43760000</v>
      </c>
      <c r="J40" s="46"/>
      <c r="K40" s="14">
        <f>G40-B40</f>
        <v>-15</v>
      </c>
      <c r="L40" s="39">
        <f>SUM(L31:L39)</f>
        <v>-140801990.23999998</v>
      </c>
      <c r="M40" s="39">
        <f>SUM(M31:M39)</f>
        <v>22369700</v>
      </c>
    </row>
    <row r="41" spans="1:13" ht="13.5" thickTop="1" x14ac:dyDescent="0.3">
      <c r="A41" s="49" t="s">
        <v>75</v>
      </c>
      <c r="B41" s="55"/>
      <c r="C41" s="40"/>
      <c r="D41" s="40"/>
      <c r="F41" s="58"/>
      <c r="G41" s="56"/>
      <c r="H41" s="57"/>
      <c r="I41" s="57"/>
      <c r="J41" s="46"/>
      <c r="K41" s="49"/>
      <c r="L41" s="40"/>
      <c r="M41" s="40"/>
    </row>
    <row r="42" spans="1:13" x14ac:dyDescent="0.3">
      <c r="A42" s="65" t="s">
        <v>72</v>
      </c>
      <c r="B42" s="62">
        <f>SUM(B31:B39)/COUNT(B31:B39)</f>
        <v>10.285714285714286</v>
      </c>
      <c r="C42" s="63">
        <f>SUM(C31:C39)/COUNT(C31:C39)</f>
        <v>47204251.839999996</v>
      </c>
      <c r="D42" s="63">
        <f>SUM(D31:D39)/COUNT(D31:D39)</f>
        <v>8417100</v>
      </c>
      <c r="F42" s="59"/>
      <c r="G42" s="60">
        <f>SUM(G31:G39)/COUNT(G31:G39)</f>
        <v>9.5</v>
      </c>
      <c r="H42" s="61">
        <f>SUM(H31:H39)/COUNT(H31:H39)</f>
        <v>47406943.160000004</v>
      </c>
      <c r="I42" s="61">
        <f>SUM(I31:I39)/COUNT(I31:I39)</f>
        <v>7293333.333333333</v>
      </c>
      <c r="J42" s="48"/>
      <c r="K42" s="62">
        <f>SUM(K31:K39)/COUNT(K31:K39)</f>
        <v>-1.875</v>
      </c>
      <c r="L42" s="63">
        <f>SUM(L31:L39)/COUNT(L31:L39)</f>
        <v>-20114570.034285713</v>
      </c>
      <c r="M42" s="63">
        <f>SUM(M31:M39)/COUNT(M31:M39)</f>
        <v>3195671.4285714286</v>
      </c>
    </row>
    <row r="44" spans="1:13" x14ac:dyDescent="0.3">
      <c r="A44" s="34" t="s">
        <v>71</v>
      </c>
    </row>
    <row r="45" spans="1:13" ht="29.5" thickBot="1" x14ac:dyDescent="0.4">
      <c r="A45" s="76" t="s">
        <v>70</v>
      </c>
      <c r="B45" s="76" t="s">
        <v>69</v>
      </c>
      <c r="C45" s="76" t="s">
        <v>65</v>
      </c>
      <c r="D45" s="76"/>
      <c r="F45" s="76" t="s">
        <v>70</v>
      </c>
      <c r="G45" s="76" t="s">
        <v>69</v>
      </c>
      <c r="H45" s="76" t="s">
        <v>65</v>
      </c>
      <c r="I45" s="76" t="s">
        <v>74</v>
      </c>
      <c r="J45" s="77"/>
      <c r="K45" s="66" t="s">
        <v>78</v>
      </c>
      <c r="L45" s="67" t="s">
        <v>76</v>
      </c>
      <c r="M45" s="67" t="s">
        <v>77</v>
      </c>
    </row>
    <row r="46" spans="1:13" x14ac:dyDescent="0.3">
      <c r="A46" s="73">
        <v>43561</v>
      </c>
      <c r="B46" s="68">
        <v>6</v>
      </c>
      <c r="C46" s="74">
        <f>804709.42+53508216.97</f>
        <v>54312926.390000001</v>
      </c>
      <c r="D46" s="74"/>
      <c r="F46" s="73">
        <v>44289</v>
      </c>
      <c r="G46" s="68">
        <v>3</v>
      </c>
      <c r="H46" s="74">
        <v>0</v>
      </c>
      <c r="I46" s="69"/>
      <c r="J46" s="45"/>
      <c r="K46" s="68">
        <f t="shared" ref="K46:L51" si="5">G46-B46</f>
        <v>-3</v>
      </c>
      <c r="L46" s="69">
        <f t="shared" si="5"/>
        <v>-54312926.390000001</v>
      </c>
      <c r="M46" s="69"/>
    </row>
    <row r="47" spans="1:13" x14ac:dyDescent="0.3">
      <c r="A47" s="73">
        <v>43568</v>
      </c>
      <c r="B47" s="68">
        <v>7</v>
      </c>
      <c r="C47" s="74">
        <f>4397844+57788036.17</f>
        <v>62185880.170000002</v>
      </c>
      <c r="D47" s="74"/>
      <c r="F47" s="73">
        <v>44296</v>
      </c>
      <c r="G47" s="68">
        <v>7</v>
      </c>
      <c r="H47" s="74">
        <f>15017890.22+9083142.34</f>
        <v>24101032.560000002</v>
      </c>
      <c r="I47" s="69"/>
      <c r="J47" s="45"/>
      <c r="K47" s="68">
        <f t="shared" si="5"/>
        <v>0</v>
      </c>
      <c r="L47" s="69">
        <f t="shared" si="5"/>
        <v>-38084847.609999999</v>
      </c>
      <c r="M47" s="69"/>
    </row>
    <row r="48" spans="1:13" x14ac:dyDescent="0.3">
      <c r="A48" s="73">
        <v>43575</v>
      </c>
      <c r="B48" s="68">
        <v>7</v>
      </c>
      <c r="C48" s="74">
        <f>4376261+49094837.02</f>
        <v>53471098.020000003</v>
      </c>
      <c r="D48" s="74"/>
      <c r="F48" s="73">
        <v>44303</v>
      </c>
      <c r="G48" s="68">
        <v>7</v>
      </c>
      <c r="H48" s="74">
        <v>47788478.729999997</v>
      </c>
      <c r="I48" s="69"/>
      <c r="J48" s="45"/>
      <c r="K48" s="68">
        <f t="shared" si="5"/>
        <v>0</v>
      </c>
      <c r="L48" s="69">
        <f t="shared" si="5"/>
        <v>-5682619.2900000066</v>
      </c>
      <c r="M48" s="69"/>
    </row>
    <row r="49" spans="1:13" x14ac:dyDescent="0.3">
      <c r="A49" s="73">
        <v>43582</v>
      </c>
      <c r="B49" s="68">
        <v>7</v>
      </c>
      <c r="C49" s="74">
        <f>5980326+57061146.03</f>
        <v>63041472.030000001</v>
      </c>
      <c r="D49" s="74"/>
      <c r="F49" s="73">
        <v>44310</v>
      </c>
      <c r="G49" s="68">
        <v>7</v>
      </c>
      <c r="H49" s="74"/>
      <c r="I49" s="69"/>
      <c r="J49" s="45"/>
      <c r="K49" s="68">
        <f t="shared" si="5"/>
        <v>0</v>
      </c>
      <c r="L49" s="69">
        <f t="shared" si="5"/>
        <v>-63041472.030000001</v>
      </c>
      <c r="M49" s="69"/>
    </row>
    <row r="50" spans="1:13" x14ac:dyDescent="0.3">
      <c r="A50" s="73">
        <v>43585</v>
      </c>
      <c r="B50" s="68">
        <v>3</v>
      </c>
      <c r="C50" s="74">
        <f>2968648+23451824.23</f>
        <v>26420472.23</v>
      </c>
      <c r="D50" s="74"/>
      <c r="F50" s="73">
        <v>44316</v>
      </c>
      <c r="G50" s="68">
        <v>6</v>
      </c>
      <c r="H50" s="74"/>
      <c r="I50" s="69"/>
      <c r="J50" s="45"/>
      <c r="K50" s="68">
        <f t="shared" si="5"/>
        <v>3</v>
      </c>
      <c r="L50" s="69">
        <f t="shared" si="5"/>
        <v>-26420472.23</v>
      </c>
      <c r="M50" s="69"/>
    </row>
    <row r="51" spans="1:13" x14ac:dyDescent="0.3">
      <c r="A51" s="73"/>
      <c r="B51" s="68"/>
      <c r="C51" s="74"/>
      <c r="D51" s="74"/>
      <c r="F51" s="73"/>
      <c r="G51" s="68"/>
      <c r="H51" s="74"/>
      <c r="I51" s="69"/>
      <c r="J51" s="45"/>
      <c r="K51" s="68"/>
      <c r="L51" s="69">
        <f t="shared" si="5"/>
        <v>0</v>
      </c>
      <c r="M51" s="69"/>
    </row>
    <row r="52" spans="1:13" ht="13.5" thickBot="1" x14ac:dyDescent="0.35">
      <c r="A52" s="75" t="s">
        <v>66</v>
      </c>
      <c r="B52" s="75">
        <f>SUM(B46:B51)</f>
        <v>30</v>
      </c>
      <c r="C52" s="70">
        <f>SUM(C46:C51)</f>
        <v>259431848.84</v>
      </c>
      <c r="D52" s="70"/>
      <c r="F52" s="75" t="s">
        <v>66</v>
      </c>
      <c r="G52" s="75">
        <f>SUM(G46:G51)</f>
        <v>30</v>
      </c>
      <c r="H52" s="70">
        <f>SUM(H46:H51)</f>
        <v>71889511.289999992</v>
      </c>
      <c r="I52" s="70"/>
      <c r="J52" s="46"/>
      <c r="K52" s="68">
        <f>SUM(K46:K51)</f>
        <v>0</v>
      </c>
      <c r="L52" s="70">
        <f>SUM(L46:L51)</f>
        <v>-187542337.54999998</v>
      </c>
      <c r="M52" s="70"/>
    </row>
    <row r="53" spans="1:13" ht="13.5" thickTop="1" x14ac:dyDescent="0.3">
      <c r="A53" s="68"/>
      <c r="B53" s="68"/>
      <c r="C53" s="74"/>
      <c r="D53" s="74"/>
      <c r="F53" s="68"/>
      <c r="G53" s="68"/>
      <c r="H53" s="68"/>
      <c r="I53" s="68"/>
      <c r="K53" s="68"/>
      <c r="L53" s="68"/>
      <c r="M53" s="68"/>
    </row>
    <row r="54" spans="1:13" ht="13.5" thickBot="1" x14ac:dyDescent="0.35">
      <c r="A54" s="71" t="s">
        <v>67</v>
      </c>
      <c r="B54" s="71"/>
      <c r="C54" s="72">
        <f>C40+C52</f>
        <v>589861611.72000003</v>
      </c>
      <c r="D54" s="72"/>
      <c r="E54" s="41"/>
      <c r="F54" s="71" t="s">
        <v>67</v>
      </c>
      <c r="G54" s="71"/>
      <c r="H54" s="72">
        <f>H52+H40</f>
        <v>261517283.93000001</v>
      </c>
      <c r="I54" s="72"/>
      <c r="J54" s="46"/>
      <c r="K54" s="71"/>
      <c r="L54" s="72">
        <f>L52+L40</f>
        <v>-328344327.78999996</v>
      </c>
      <c r="M54" s="72"/>
    </row>
    <row r="55" spans="1:13" ht="13.5" thickTop="1" x14ac:dyDescent="0.3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3C91-19C0-4F5D-9158-2DCE90E3E03A}">
  <dimension ref="A1:M55"/>
  <sheetViews>
    <sheetView workbookViewId="0">
      <selection activeCell="F18" sqref="F18:G23"/>
    </sheetView>
  </sheetViews>
  <sheetFormatPr defaultRowHeight="13" x14ac:dyDescent="0.3"/>
  <cols>
    <col min="1" max="1" width="26" style="35" customWidth="1"/>
    <col min="2" max="2" width="7.90625" style="35" customWidth="1"/>
    <col min="3" max="3" width="15.90625" style="35" bestFit="1" customWidth="1"/>
    <col min="4" max="4" width="13.81640625" style="35" customWidth="1"/>
    <col min="5" max="5" width="2.81640625" style="35" customWidth="1"/>
    <col min="6" max="6" width="26.08984375" style="35" customWidth="1"/>
    <col min="7" max="7" width="6.54296875" style="35" bestFit="1" customWidth="1"/>
    <col min="8" max="8" width="15.6328125" style="35" bestFit="1" customWidth="1"/>
    <col min="9" max="9" width="13.36328125" style="35" bestFit="1" customWidth="1"/>
    <col min="10" max="10" width="3.36328125" style="47" customWidth="1"/>
    <col min="11" max="11" width="5.26953125" style="35" customWidth="1"/>
    <col min="12" max="12" width="14.54296875" style="35" customWidth="1"/>
    <col min="13" max="13" width="13.08984375" style="35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3">
      <c r="A3" s="50">
        <v>43955</v>
      </c>
      <c r="B3" s="49"/>
      <c r="C3" s="51"/>
      <c r="D3" s="51"/>
      <c r="F3" s="50">
        <v>44317</v>
      </c>
      <c r="G3" s="49">
        <v>10</v>
      </c>
      <c r="H3" s="51">
        <v>45594704.560000002</v>
      </c>
      <c r="I3" s="51">
        <v>9490000</v>
      </c>
      <c r="J3" s="45"/>
      <c r="K3" s="49">
        <f t="shared" ref="K3:L9" si="0">G3-B3</f>
        <v>10</v>
      </c>
      <c r="L3" s="38">
        <f t="shared" si="0"/>
        <v>45594704.560000002</v>
      </c>
      <c r="M3" s="38">
        <f>D3-I3</f>
        <v>-9490000</v>
      </c>
    </row>
    <row r="4" spans="1:13" x14ac:dyDescent="0.3">
      <c r="A4" s="50">
        <v>43962</v>
      </c>
      <c r="B4" s="49"/>
      <c r="C4" s="51"/>
      <c r="D4" s="51"/>
      <c r="F4" s="50">
        <v>44324</v>
      </c>
      <c r="G4" s="49">
        <v>10</v>
      </c>
      <c r="H4" s="51">
        <v>58021799.700000003</v>
      </c>
      <c r="I4" s="51">
        <v>9280000</v>
      </c>
      <c r="J4" s="45"/>
      <c r="K4" s="49">
        <f t="shared" si="0"/>
        <v>10</v>
      </c>
      <c r="L4" s="38">
        <f t="shared" si="0"/>
        <v>58021799.700000003</v>
      </c>
      <c r="M4" s="38">
        <f t="shared" ref="M4:M9" si="1">D4-I4</f>
        <v>-9280000</v>
      </c>
    </row>
    <row r="5" spans="1:13" x14ac:dyDescent="0.3">
      <c r="A5" s="50">
        <v>43966</v>
      </c>
      <c r="B5" s="49"/>
      <c r="C5" s="51"/>
      <c r="D5" s="51"/>
      <c r="F5" s="50">
        <v>44331</v>
      </c>
      <c r="G5" s="49">
        <v>10</v>
      </c>
      <c r="H5" s="51">
        <v>54817392.109999999</v>
      </c>
      <c r="I5" s="51">
        <v>7560000</v>
      </c>
      <c r="J5" s="45"/>
      <c r="K5" s="49">
        <f t="shared" si="0"/>
        <v>10</v>
      </c>
      <c r="L5" s="38">
        <f t="shared" si="0"/>
        <v>54817392.109999999</v>
      </c>
      <c r="M5" s="38">
        <f t="shared" si="1"/>
        <v>-7560000</v>
      </c>
    </row>
    <row r="6" spans="1:13" x14ac:dyDescent="0.3">
      <c r="A6" s="50">
        <v>43969</v>
      </c>
      <c r="B6" s="49"/>
      <c r="C6" s="51"/>
      <c r="D6" s="51"/>
      <c r="F6" s="50">
        <v>44333</v>
      </c>
      <c r="G6" s="49">
        <v>9</v>
      </c>
      <c r="H6" s="51">
        <v>46160853.039999999</v>
      </c>
      <c r="I6" s="51">
        <v>6550000</v>
      </c>
      <c r="J6" s="45"/>
      <c r="K6" s="49">
        <f t="shared" si="0"/>
        <v>9</v>
      </c>
      <c r="L6" s="38">
        <f t="shared" si="0"/>
        <v>46160853.039999999</v>
      </c>
      <c r="M6" s="38">
        <f t="shared" si="1"/>
        <v>-6550000</v>
      </c>
    </row>
    <row r="7" spans="1:13" x14ac:dyDescent="0.3">
      <c r="A7" s="50">
        <v>43974</v>
      </c>
      <c r="B7" s="49"/>
      <c r="C7" s="51"/>
      <c r="D7" s="51"/>
      <c r="F7" s="50">
        <v>44338</v>
      </c>
      <c r="G7" s="49">
        <v>9</v>
      </c>
      <c r="H7" s="51">
        <v>56862365.259999998</v>
      </c>
      <c r="I7" s="51">
        <v>6490000</v>
      </c>
      <c r="J7" s="45"/>
      <c r="K7" s="49">
        <f t="shared" si="0"/>
        <v>9</v>
      </c>
      <c r="L7" s="38">
        <f t="shared" si="0"/>
        <v>56862365.259999998</v>
      </c>
      <c r="M7" s="38">
        <f t="shared" si="1"/>
        <v>-6490000</v>
      </c>
    </row>
    <row r="8" spans="1:13" x14ac:dyDescent="0.3">
      <c r="A8" s="50">
        <v>43976</v>
      </c>
      <c r="B8" s="49"/>
      <c r="C8" s="51"/>
      <c r="D8" s="51"/>
      <c r="F8" s="50">
        <v>44341</v>
      </c>
      <c r="G8" s="49">
        <v>9</v>
      </c>
      <c r="H8" s="51">
        <v>51496617</v>
      </c>
      <c r="I8" s="51">
        <f>600000+690000+680000+660000+620000+870000+900000+1000000+620000</f>
        <v>6640000</v>
      </c>
      <c r="J8" s="45"/>
      <c r="K8" s="49">
        <f t="shared" si="0"/>
        <v>9</v>
      </c>
      <c r="L8" s="38">
        <f t="shared" si="0"/>
        <v>51496617</v>
      </c>
      <c r="M8" s="38">
        <f t="shared" si="1"/>
        <v>-6640000</v>
      </c>
    </row>
    <row r="9" spans="1:13" x14ac:dyDescent="0.3">
      <c r="A9" s="50"/>
      <c r="B9" s="49"/>
      <c r="C9" s="51"/>
      <c r="D9" s="51"/>
      <c r="F9" s="50">
        <v>44345</v>
      </c>
      <c r="G9" s="49">
        <v>9</v>
      </c>
      <c r="H9" s="51">
        <v>61666001.659999996</v>
      </c>
      <c r="I9" s="51">
        <v>6110000</v>
      </c>
      <c r="J9" s="45"/>
      <c r="K9" s="49">
        <f t="shared" si="0"/>
        <v>9</v>
      </c>
      <c r="L9" s="38">
        <f t="shared" si="0"/>
        <v>61666001.659999996</v>
      </c>
      <c r="M9" s="38">
        <f t="shared" si="1"/>
        <v>-6110000</v>
      </c>
    </row>
    <row r="10" spans="1:13" x14ac:dyDescent="0.3">
      <c r="A10" s="50"/>
      <c r="B10" s="49"/>
      <c r="C10" s="51"/>
      <c r="D10" s="51"/>
      <c r="F10" s="50"/>
      <c r="G10" s="49"/>
      <c r="H10" s="51"/>
      <c r="I10" s="38"/>
      <c r="J10" s="45"/>
      <c r="K10" s="49"/>
      <c r="L10" s="38"/>
      <c r="M10" s="38"/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0</v>
      </c>
      <c r="C12" s="39">
        <f>SUM(C3:C11)</f>
        <v>0</v>
      </c>
      <c r="D12" s="54">
        <f>SUM(D3:D11)</f>
        <v>0</v>
      </c>
      <c r="F12" s="52" t="s">
        <v>66</v>
      </c>
      <c r="G12" s="52">
        <f>SUM(G3:G11)</f>
        <v>66</v>
      </c>
      <c r="H12" s="39">
        <f>SUM(H3:H11)</f>
        <v>374619733.32999992</v>
      </c>
      <c r="I12" s="39">
        <f>SUM(I3:I11)</f>
        <v>52120000</v>
      </c>
      <c r="J12" s="46"/>
      <c r="K12" s="14">
        <f>G12-B12</f>
        <v>66</v>
      </c>
      <c r="L12" s="39">
        <f>SUM(L3:L11)</f>
        <v>374619733.32999992</v>
      </c>
      <c r="M12" s="39">
        <f>SUM(M3:M11)</f>
        <v>-52120000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 t="e">
        <f>SUM(B3:B11)/COUNT(B3:B11)</f>
        <v>#DIV/0!</v>
      </c>
      <c r="C14" s="63" t="e">
        <f>SUM(C3:C11)/COUNT(C3:C11)</f>
        <v>#DIV/0!</v>
      </c>
      <c r="D14" s="63" t="e">
        <f>SUM(D3:D11)/COUNT(D3:D11)</f>
        <v>#DIV/0!</v>
      </c>
      <c r="F14" s="59"/>
      <c r="G14" s="60">
        <f>SUM(G3:G11)/COUNT(G3:G11)</f>
        <v>9.4285714285714288</v>
      </c>
      <c r="H14" s="61">
        <f>SUM(H3:H11)/COUNT(H3:H11)</f>
        <v>53517104.761428557</v>
      </c>
      <c r="I14" s="61">
        <f>SUM(I3:I11)/COUNT(I3:I11)</f>
        <v>7445714.2857142854</v>
      </c>
      <c r="J14" s="48"/>
      <c r="K14" s="62">
        <f>SUM(K3:K11)/COUNT(K3:K11)</f>
        <v>9.4285714285714288</v>
      </c>
      <c r="L14" s="63">
        <f>SUM(L3:L11)/COUNT(L3:L11)</f>
        <v>53517104.761428557</v>
      </c>
      <c r="M14" s="63">
        <f>SUM(M3:M11)/COUNT(M3:M11)</f>
        <v>-7445714.2857142854</v>
      </c>
    </row>
    <row r="15" spans="1:13" x14ac:dyDescent="0.3">
      <c r="H15" s="78">
        <f>H12/G12</f>
        <v>5676056.5656060595</v>
      </c>
    </row>
    <row r="16" spans="1:13" x14ac:dyDescent="0.3">
      <c r="A16" s="34" t="s">
        <v>71</v>
      </c>
    </row>
    <row r="17" spans="1:13" ht="29.5" thickBot="1" x14ac:dyDescent="0.4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3">
      <c r="A18" s="73">
        <v>43953</v>
      </c>
      <c r="B18" s="68"/>
      <c r="D18" s="74"/>
      <c r="F18" s="73">
        <v>44317</v>
      </c>
      <c r="G18" s="68">
        <v>1</v>
      </c>
      <c r="H18" s="74">
        <f>55397161.04-H32</f>
        <v>9802456.4799999967</v>
      </c>
      <c r="I18" s="69"/>
      <c r="J18" s="45"/>
      <c r="K18" s="68">
        <f t="shared" ref="K18:K23" si="2">G18-B18</f>
        <v>1</v>
      </c>
      <c r="L18" s="69">
        <f t="shared" ref="L18:L23" si="3">H18-C46</f>
        <v>-30176024.600000009</v>
      </c>
      <c r="M18" s="69"/>
    </row>
    <row r="19" spans="1:13" x14ac:dyDescent="0.3">
      <c r="A19" s="73">
        <v>43960</v>
      </c>
      <c r="B19" s="68"/>
      <c r="D19" s="74"/>
      <c r="F19" s="73">
        <v>44324</v>
      </c>
      <c r="G19" s="68">
        <v>7</v>
      </c>
      <c r="H19" s="74">
        <f>107991704.03-H33</f>
        <v>49969904.329999998</v>
      </c>
      <c r="I19" s="69"/>
      <c r="J19" s="45"/>
      <c r="K19" s="68">
        <f t="shared" si="2"/>
        <v>7</v>
      </c>
      <c r="L19" s="69">
        <f t="shared" si="3"/>
        <v>-17058832.629999995</v>
      </c>
      <c r="M19" s="69"/>
    </row>
    <row r="20" spans="1:13" x14ac:dyDescent="0.3">
      <c r="A20" s="73">
        <v>43967</v>
      </c>
      <c r="B20" s="68"/>
      <c r="D20" s="74"/>
      <c r="F20" s="73">
        <v>44331</v>
      </c>
      <c r="G20" s="68">
        <v>7</v>
      </c>
      <c r="H20" s="74">
        <f>110150837.59-H34</f>
        <v>55333445.480000004</v>
      </c>
      <c r="I20" s="69"/>
      <c r="J20" s="45"/>
      <c r="K20" s="68">
        <f t="shared" si="2"/>
        <v>7</v>
      </c>
      <c r="L20" s="69">
        <f t="shared" si="3"/>
        <v>-16489149.23999998</v>
      </c>
      <c r="M20" s="69"/>
    </row>
    <row r="21" spans="1:13" x14ac:dyDescent="0.3">
      <c r="A21" s="73">
        <v>43974</v>
      </c>
      <c r="B21" s="68"/>
      <c r="D21" s="74"/>
      <c r="F21" s="73">
        <v>44338</v>
      </c>
      <c r="G21" s="68">
        <v>7</v>
      </c>
      <c r="H21" s="74">
        <f>35364358.44+13803358.2</f>
        <v>49167716.640000001</v>
      </c>
      <c r="I21" s="69"/>
      <c r="J21" s="45"/>
      <c r="K21" s="68">
        <f t="shared" si="2"/>
        <v>7</v>
      </c>
      <c r="L21" s="69">
        <f t="shared" si="3"/>
        <v>-22001615.349999994</v>
      </c>
      <c r="M21" s="69"/>
    </row>
    <row r="22" spans="1:13" x14ac:dyDescent="0.3">
      <c r="A22" s="73">
        <v>43981</v>
      </c>
      <c r="B22" s="68"/>
      <c r="D22" s="74"/>
      <c r="F22" s="73">
        <v>44345</v>
      </c>
      <c r="G22" s="68">
        <v>7</v>
      </c>
      <c r="H22" s="74">
        <v>42401048.060000002</v>
      </c>
      <c r="I22" s="69"/>
      <c r="J22" s="45"/>
      <c r="K22" s="68">
        <f t="shared" si="2"/>
        <v>7</v>
      </c>
      <c r="L22" s="69">
        <f t="shared" si="3"/>
        <v>-13068791.339999996</v>
      </c>
      <c r="M22" s="69"/>
    </row>
    <row r="23" spans="1:13" x14ac:dyDescent="0.3">
      <c r="A23" s="73">
        <v>43982</v>
      </c>
      <c r="B23" s="68"/>
      <c r="C23" s="74"/>
      <c r="D23" s="74"/>
      <c r="F23" s="73">
        <v>44347</v>
      </c>
      <c r="G23" s="68">
        <v>2</v>
      </c>
      <c r="H23" s="74">
        <f>2861784.4+10412967.28</f>
        <v>13274751.68</v>
      </c>
      <c r="I23" s="69"/>
      <c r="J23" s="45"/>
      <c r="K23" s="68">
        <f t="shared" si="2"/>
        <v>2</v>
      </c>
      <c r="L23" s="69">
        <f t="shared" si="3"/>
        <v>13274751.68</v>
      </c>
      <c r="M23" s="69"/>
    </row>
    <row r="24" spans="1:13" ht="14.5" x14ac:dyDescent="0.35">
      <c r="A24" s="73"/>
      <c r="B24" s="68"/>
      <c r="C24" s="74"/>
      <c r="D24" s="74"/>
      <c r="F24" s="73"/>
      <c r="G24" s="68"/>
      <c r="H24" s="82"/>
      <c r="I24" s="69"/>
      <c r="J24" s="45"/>
      <c r="K24" s="68"/>
      <c r="L24" s="69"/>
      <c r="M24" s="69"/>
    </row>
    <row r="25" spans="1:13" ht="13.5" thickBot="1" x14ac:dyDescent="0.35">
      <c r="A25" s="75" t="s">
        <v>66</v>
      </c>
      <c r="B25" s="75">
        <f>SUM(B18:B22)</f>
        <v>0</v>
      </c>
      <c r="C25" s="70">
        <v>0</v>
      </c>
      <c r="D25" s="70"/>
      <c r="F25" s="75" t="s">
        <v>66</v>
      </c>
      <c r="G25" s="75">
        <f>SUM(G18:G24)</f>
        <v>31</v>
      </c>
      <c r="H25" s="70">
        <f>SUM(H18:H24)</f>
        <v>219949322.67000002</v>
      </c>
      <c r="I25" s="70"/>
      <c r="J25" s="46"/>
      <c r="K25" s="68">
        <f>SUM(K18:K24)</f>
        <v>31</v>
      </c>
      <c r="L25" s="70">
        <f>SUM(L18:L24)</f>
        <v>-85519661.479999959</v>
      </c>
      <c r="M25" s="70"/>
    </row>
    <row r="26" spans="1:13" ht="13.5" thickTop="1" x14ac:dyDescent="0.3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3" ht="13.5" thickBot="1" x14ac:dyDescent="0.35">
      <c r="A27" s="71" t="s">
        <v>67</v>
      </c>
      <c r="B27" s="71"/>
      <c r="C27" s="72">
        <f>C12+C25</f>
        <v>0</v>
      </c>
      <c r="D27" s="72"/>
      <c r="E27" s="41"/>
      <c r="F27" s="71" t="s">
        <v>67</v>
      </c>
      <c r="G27" s="71"/>
      <c r="H27" s="72">
        <f>H25+H12</f>
        <v>594569056</v>
      </c>
      <c r="I27" s="72"/>
      <c r="J27" s="46"/>
      <c r="K27" s="71"/>
      <c r="L27" s="72">
        <f>L25+L12</f>
        <v>289100071.84999996</v>
      </c>
      <c r="M27" s="72"/>
    </row>
    <row r="28" spans="1:13" ht="13.5" thickTop="1" x14ac:dyDescent="0.3"/>
    <row r="30" spans="1:13" x14ac:dyDescent="0.3">
      <c r="A30" s="34" t="s">
        <v>73</v>
      </c>
    </row>
    <row r="31" spans="1:13" ht="30" thickBot="1" x14ac:dyDescent="0.45">
      <c r="A31" s="37" t="s">
        <v>63</v>
      </c>
      <c r="B31" s="37" t="s">
        <v>64</v>
      </c>
      <c r="C31" s="37" t="s">
        <v>65</v>
      </c>
      <c r="D31" s="53" t="s">
        <v>74</v>
      </c>
      <c r="E31" s="36"/>
      <c r="F31" s="37" t="s">
        <v>63</v>
      </c>
      <c r="G31" s="37" t="s">
        <v>64</v>
      </c>
      <c r="H31" s="37" t="s">
        <v>65</v>
      </c>
      <c r="I31" s="18" t="s">
        <v>74</v>
      </c>
      <c r="J31" s="44"/>
      <c r="K31" s="64" t="s">
        <v>78</v>
      </c>
      <c r="L31" s="37" t="s">
        <v>76</v>
      </c>
      <c r="M31" s="37" t="s">
        <v>77</v>
      </c>
    </row>
    <row r="32" spans="1:13" ht="13.5" thickTop="1" x14ac:dyDescent="0.3">
      <c r="A32" s="50">
        <v>43589</v>
      </c>
      <c r="B32" s="49">
        <v>10</v>
      </c>
      <c r="C32" s="51">
        <v>53000235.960000001</v>
      </c>
      <c r="D32" s="51">
        <v>10010000</v>
      </c>
      <c r="F32" s="50">
        <v>44317</v>
      </c>
      <c r="G32" s="49">
        <f>G3</f>
        <v>10</v>
      </c>
      <c r="H32" s="51">
        <f>H3</f>
        <v>45594704.560000002</v>
      </c>
      <c r="I32" s="51">
        <f>I3</f>
        <v>9490000</v>
      </c>
      <c r="J32" s="45"/>
      <c r="K32" s="49">
        <f t="shared" ref="K32:L38" si="4">G32-B32</f>
        <v>0</v>
      </c>
      <c r="L32" s="38">
        <f t="shared" si="4"/>
        <v>-7405531.3999999985</v>
      </c>
      <c r="M32" s="38">
        <f>D32-I32</f>
        <v>520000</v>
      </c>
    </row>
    <row r="33" spans="1:13" x14ac:dyDescent="0.3">
      <c r="A33" s="50">
        <v>43596</v>
      </c>
      <c r="B33" s="49">
        <v>13</v>
      </c>
      <c r="C33" s="51">
        <v>53725796.25</v>
      </c>
      <c r="D33" s="51">
        <v>9480000</v>
      </c>
      <c r="F33" s="50">
        <v>44324</v>
      </c>
      <c r="G33" s="49">
        <f t="shared" ref="G33:I38" si="5">G4</f>
        <v>10</v>
      </c>
      <c r="H33" s="51">
        <f t="shared" si="5"/>
        <v>58021799.700000003</v>
      </c>
      <c r="I33" s="51">
        <f t="shared" si="5"/>
        <v>9280000</v>
      </c>
      <c r="J33" s="45"/>
      <c r="K33" s="49">
        <f t="shared" si="4"/>
        <v>-3</v>
      </c>
      <c r="L33" s="38">
        <f t="shared" si="4"/>
        <v>4296003.450000003</v>
      </c>
      <c r="M33" s="38">
        <f t="shared" ref="M33:M38" si="6">D33-I33</f>
        <v>200000</v>
      </c>
    </row>
    <row r="34" spans="1:13" x14ac:dyDescent="0.3">
      <c r="A34" s="50">
        <v>43600</v>
      </c>
      <c r="B34" s="49">
        <v>10</v>
      </c>
      <c r="C34" s="51">
        <v>37868084.840000004</v>
      </c>
      <c r="D34" s="51">
        <v>7740000</v>
      </c>
      <c r="F34" s="50">
        <v>44331</v>
      </c>
      <c r="G34" s="49">
        <f t="shared" si="5"/>
        <v>10</v>
      </c>
      <c r="H34" s="51">
        <f t="shared" si="5"/>
        <v>54817392.109999999</v>
      </c>
      <c r="I34" s="51">
        <f t="shared" si="5"/>
        <v>7560000</v>
      </c>
      <c r="J34" s="45"/>
      <c r="K34" s="49">
        <f t="shared" si="4"/>
        <v>0</v>
      </c>
      <c r="L34" s="38">
        <f t="shared" si="4"/>
        <v>16949307.269999996</v>
      </c>
      <c r="M34" s="38">
        <f t="shared" si="6"/>
        <v>180000</v>
      </c>
    </row>
    <row r="35" spans="1:13" x14ac:dyDescent="0.3">
      <c r="A35" s="50">
        <v>43603</v>
      </c>
      <c r="B35" s="49">
        <v>10</v>
      </c>
      <c r="C35" s="51">
        <v>46733130.609999999</v>
      </c>
      <c r="D35" s="51">
        <v>8030000</v>
      </c>
      <c r="F35" s="50">
        <v>44333</v>
      </c>
      <c r="G35" s="49">
        <f t="shared" si="5"/>
        <v>9</v>
      </c>
      <c r="H35" s="51">
        <f t="shared" si="5"/>
        <v>46160853.039999999</v>
      </c>
      <c r="I35" s="51">
        <f t="shared" si="5"/>
        <v>6550000</v>
      </c>
      <c r="J35" s="45"/>
      <c r="K35" s="49">
        <f t="shared" si="4"/>
        <v>-1</v>
      </c>
      <c r="L35" s="38">
        <f t="shared" si="4"/>
        <v>-572277.5700000003</v>
      </c>
      <c r="M35" s="38">
        <f t="shared" si="6"/>
        <v>1480000</v>
      </c>
    </row>
    <row r="36" spans="1:13" x14ac:dyDescent="0.3">
      <c r="A36" s="50">
        <v>43608</v>
      </c>
      <c r="B36" s="49">
        <v>10</v>
      </c>
      <c r="C36" s="51">
        <v>48276795.149999999</v>
      </c>
      <c r="D36" s="51">
        <v>7680000</v>
      </c>
      <c r="F36" s="50">
        <v>44338</v>
      </c>
      <c r="G36" s="49">
        <f t="shared" si="5"/>
        <v>9</v>
      </c>
      <c r="H36" s="51">
        <f t="shared" si="5"/>
        <v>56862365.259999998</v>
      </c>
      <c r="I36" s="51">
        <f t="shared" si="5"/>
        <v>6490000</v>
      </c>
      <c r="J36" s="45"/>
      <c r="K36" s="49">
        <f t="shared" si="4"/>
        <v>-1</v>
      </c>
      <c r="L36" s="38">
        <f t="shared" si="4"/>
        <v>8585570.1099999994</v>
      </c>
      <c r="M36" s="38">
        <f t="shared" si="6"/>
        <v>1190000</v>
      </c>
    </row>
    <row r="37" spans="1:13" x14ac:dyDescent="0.3">
      <c r="A37" s="50">
        <v>43610</v>
      </c>
      <c r="B37" s="49">
        <v>10</v>
      </c>
      <c r="C37" s="51">
        <v>48232552.140000001</v>
      </c>
      <c r="D37" s="51">
        <v>9830000</v>
      </c>
      <c r="F37" s="50">
        <v>44341</v>
      </c>
      <c r="G37" s="49">
        <f t="shared" si="5"/>
        <v>9</v>
      </c>
      <c r="H37" s="51">
        <v>51496617</v>
      </c>
      <c r="I37" s="51">
        <f t="shared" si="5"/>
        <v>6640000</v>
      </c>
      <c r="J37" s="45"/>
      <c r="K37" s="49">
        <f t="shared" si="4"/>
        <v>-1</v>
      </c>
      <c r="L37" s="38">
        <f t="shared" si="4"/>
        <v>3264064.8599999994</v>
      </c>
      <c r="M37" s="38">
        <f t="shared" si="6"/>
        <v>3190000</v>
      </c>
    </row>
    <row r="38" spans="1:13" x14ac:dyDescent="0.3">
      <c r="A38" s="50"/>
      <c r="B38" s="49"/>
      <c r="C38" s="80"/>
      <c r="D38" s="51"/>
      <c r="F38" s="50">
        <v>44345</v>
      </c>
      <c r="G38" s="49">
        <f t="shared" si="5"/>
        <v>9</v>
      </c>
      <c r="H38" s="51">
        <f>H9</f>
        <v>61666001.659999996</v>
      </c>
      <c r="I38" s="51">
        <f>I9</f>
        <v>6110000</v>
      </c>
      <c r="J38" s="45"/>
      <c r="K38" s="49">
        <f t="shared" si="4"/>
        <v>9</v>
      </c>
      <c r="L38" s="38">
        <f t="shared" si="4"/>
        <v>61666001.659999996</v>
      </c>
      <c r="M38" s="38">
        <f t="shared" si="6"/>
        <v>-6110000</v>
      </c>
    </row>
    <row r="39" spans="1:13" x14ac:dyDescent="0.3">
      <c r="A39" s="50"/>
      <c r="B39" s="49"/>
      <c r="C39" s="51"/>
      <c r="D39" s="51"/>
      <c r="F39" s="50"/>
      <c r="G39" s="49"/>
      <c r="H39" s="51"/>
      <c r="I39" s="43"/>
      <c r="J39" s="45"/>
      <c r="K39" s="49"/>
      <c r="L39" s="38"/>
      <c r="M39" s="38"/>
    </row>
    <row r="40" spans="1:13" ht="15" thickBot="1" x14ac:dyDescent="0.4">
      <c r="A40" s="52" t="s">
        <v>66</v>
      </c>
      <c r="B40" s="52">
        <f>SUM(B32:B39)</f>
        <v>63</v>
      </c>
      <c r="C40" s="39">
        <f>SUM(C32:C39)</f>
        <v>287836594.95000005</v>
      </c>
      <c r="D40" s="54">
        <f>SUM(D32:D39)</f>
        <v>52770000</v>
      </c>
      <c r="F40" s="52" t="s">
        <v>66</v>
      </c>
      <c r="G40" s="52">
        <f>SUM(G32:G39)</f>
        <v>66</v>
      </c>
      <c r="H40" s="39">
        <f>SUM(H32:H39)</f>
        <v>374619733.32999992</v>
      </c>
      <c r="I40" s="39">
        <f>SUM(I32:I39)</f>
        <v>52120000</v>
      </c>
      <c r="J40" s="46"/>
      <c r="K40" s="14">
        <f>G40-B40</f>
        <v>3</v>
      </c>
      <c r="L40" s="39">
        <f>SUM(L32:L39)</f>
        <v>86783138.379999995</v>
      </c>
      <c r="M40" s="39">
        <f>SUM(M32:M39)</f>
        <v>650000</v>
      </c>
    </row>
    <row r="41" spans="1:13" ht="13.5" thickTop="1" x14ac:dyDescent="0.3">
      <c r="A41" s="49" t="s">
        <v>75</v>
      </c>
      <c r="B41" s="55"/>
      <c r="C41" s="40"/>
      <c r="D41" s="40"/>
      <c r="F41" s="58"/>
      <c r="G41" s="56"/>
      <c r="H41" s="57"/>
      <c r="I41" s="57"/>
      <c r="J41" s="46"/>
      <c r="K41" s="49"/>
      <c r="L41" s="40"/>
      <c r="M41" s="40"/>
    </row>
    <row r="42" spans="1:13" x14ac:dyDescent="0.3">
      <c r="A42" s="65" t="s">
        <v>72</v>
      </c>
      <c r="B42" s="62">
        <f>SUM(B32:B39)/COUNT(B32:B39)</f>
        <v>10.5</v>
      </c>
      <c r="C42" s="63">
        <f>SUM(C32:C39)/COUNT(C32:C39)</f>
        <v>47972765.82500001</v>
      </c>
      <c r="D42" s="63">
        <f>SUM(D32:D39)/COUNT(D32:D39)</f>
        <v>8795000</v>
      </c>
      <c r="F42" s="59"/>
      <c r="G42" s="60">
        <f>SUM(G32:G39)/COUNT(G32:G39)</f>
        <v>9.4285714285714288</v>
      </c>
      <c r="H42" s="61">
        <f>SUM(H32:H39)/COUNT(H32:H39)</f>
        <v>53517104.761428557</v>
      </c>
      <c r="I42" s="61">
        <f>SUM(I32:I39)/COUNT(I32:I39)</f>
        <v>7445714.2857142854</v>
      </c>
      <c r="J42" s="48"/>
      <c r="K42" s="62">
        <f>SUM(K32:K39)/COUNT(K32:K39)</f>
        <v>0.42857142857142855</v>
      </c>
      <c r="L42" s="63">
        <f>SUM(L32:L39)/COUNT(L32:L39)</f>
        <v>12397591.197142856</v>
      </c>
      <c r="M42" s="63">
        <f>SUM(M32:M39)/COUNT(M32:M39)</f>
        <v>92857.142857142855</v>
      </c>
    </row>
    <row r="44" spans="1:13" x14ac:dyDescent="0.3">
      <c r="A44" s="34" t="s">
        <v>71</v>
      </c>
      <c r="I44" s="78"/>
    </row>
    <row r="45" spans="1:13" ht="29.5" thickBot="1" x14ac:dyDescent="0.4">
      <c r="A45" s="76" t="s">
        <v>70</v>
      </c>
      <c r="B45" s="76" t="s">
        <v>69</v>
      </c>
      <c r="C45" s="76" t="s">
        <v>65</v>
      </c>
      <c r="D45" s="76"/>
      <c r="F45" s="76" t="s">
        <v>70</v>
      </c>
      <c r="G45" s="76" t="s">
        <v>69</v>
      </c>
      <c r="H45" s="76" t="s">
        <v>65</v>
      </c>
      <c r="I45" s="76" t="s">
        <v>74</v>
      </c>
      <c r="J45" s="77"/>
      <c r="K45" s="66" t="s">
        <v>78</v>
      </c>
      <c r="L45" s="67" t="s">
        <v>76</v>
      </c>
      <c r="M45" s="67" t="s">
        <v>77</v>
      </c>
    </row>
    <row r="46" spans="1:13" x14ac:dyDescent="0.3">
      <c r="A46" s="73">
        <v>43589</v>
      </c>
      <c r="B46" s="68">
        <v>4</v>
      </c>
      <c r="C46" s="74">
        <f>92978717.04-C32</f>
        <v>39978481.080000006</v>
      </c>
      <c r="D46" s="74"/>
      <c r="F46" s="73">
        <v>44317</v>
      </c>
      <c r="G46" s="68">
        <v>1</v>
      </c>
      <c r="H46" s="74">
        <f t="shared" ref="H46:H51" si="7">H18</f>
        <v>9802456.4799999967</v>
      </c>
      <c r="I46" s="69"/>
      <c r="J46" s="45"/>
      <c r="K46" s="68">
        <f t="shared" ref="K46:L51" si="8">G46-B46</f>
        <v>-3</v>
      </c>
      <c r="L46" s="69">
        <f t="shared" si="8"/>
        <v>-30176024.600000009</v>
      </c>
      <c r="M46" s="69"/>
    </row>
    <row r="47" spans="1:13" x14ac:dyDescent="0.3">
      <c r="A47" s="73">
        <v>43596</v>
      </c>
      <c r="B47" s="68">
        <v>7</v>
      </c>
      <c r="C47" s="74">
        <f>120754533.21-C33</f>
        <v>67028736.959999993</v>
      </c>
      <c r="D47" s="74"/>
      <c r="F47" s="73">
        <v>44324</v>
      </c>
      <c r="G47" s="68">
        <v>7</v>
      </c>
      <c r="H47" s="74">
        <f t="shared" si="7"/>
        <v>49969904.329999998</v>
      </c>
      <c r="I47" s="69"/>
      <c r="J47" s="45"/>
      <c r="K47" s="68">
        <f t="shared" si="8"/>
        <v>0</v>
      </c>
      <c r="L47" s="69">
        <f t="shared" si="8"/>
        <v>-17058832.629999995</v>
      </c>
      <c r="M47" s="69"/>
    </row>
    <row r="48" spans="1:13" x14ac:dyDescent="0.3">
      <c r="A48" s="73">
        <v>43603</v>
      </c>
      <c r="B48" s="68">
        <v>7</v>
      </c>
      <c r="C48" s="74">
        <f>156423810.17-C34-C35</f>
        <v>71822594.719999984</v>
      </c>
      <c r="D48" s="74"/>
      <c r="F48" s="73">
        <v>44331</v>
      </c>
      <c r="G48" s="68">
        <v>7</v>
      </c>
      <c r="H48" s="74">
        <f t="shared" si="7"/>
        <v>55333445.480000004</v>
      </c>
      <c r="I48" s="69"/>
      <c r="J48" s="45"/>
      <c r="K48" s="68">
        <f t="shared" si="8"/>
        <v>0</v>
      </c>
      <c r="L48" s="69">
        <f t="shared" si="8"/>
        <v>-16489149.23999998</v>
      </c>
      <c r="M48" s="69"/>
    </row>
    <row r="49" spans="1:13" x14ac:dyDescent="0.3">
      <c r="A49" s="73">
        <v>43610</v>
      </c>
      <c r="B49" s="68">
        <v>7</v>
      </c>
      <c r="C49" s="74">
        <f>167678679.28-C36-C37</f>
        <v>71169331.989999995</v>
      </c>
      <c r="D49" s="74"/>
      <c r="F49" s="73">
        <v>44338</v>
      </c>
      <c r="G49" s="68">
        <v>7</v>
      </c>
      <c r="H49" s="74">
        <f t="shared" si="7"/>
        <v>49167716.640000001</v>
      </c>
      <c r="I49" s="69"/>
      <c r="J49" s="45"/>
      <c r="K49" s="68">
        <f t="shared" si="8"/>
        <v>0</v>
      </c>
      <c r="L49" s="69">
        <f t="shared" si="8"/>
        <v>-22001615.349999994</v>
      </c>
      <c r="M49" s="69"/>
    </row>
    <row r="50" spans="1:13" x14ac:dyDescent="0.3">
      <c r="A50" s="73">
        <v>43616</v>
      </c>
      <c r="B50" s="68">
        <v>6</v>
      </c>
      <c r="C50" s="74">
        <v>55469839.399999999</v>
      </c>
      <c r="D50" s="74"/>
      <c r="F50" s="73">
        <v>44345</v>
      </c>
      <c r="G50" s="68">
        <v>7</v>
      </c>
      <c r="H50" s="74">
        <f t="shared" si="7"/>
        <v>42401048.060000002</v>
      </c>
      <c r="I50" s="69"/>
      <c r="J50" s="45"/>
      <c r="K50" s="68">
        <f t="shared" si="8"/>
        <v>1</v>
      </c>
      <c r="L50" s="69">
        <f t="shared" si="8"/>
        <v>-13068791.339999996</v>
      </c>
      <c r="M50" s="69"/>
    </row>
    <row r="51" spans="1:13" x14ac:dyDescent="0.3">
      <c r="A51" s="73"/>
      <c r="B51" s="68"/>
      <c r="C51" s="74"/>
      <c r="D51" s="74"/>
      <c r="F51" s="73">
        <v>44347</v>
      </c>
      <c r="G51" s="68">
        <v>2</v>
      </c>
      <c r="H51" s="74">
        <f t="shared" si="7"/>
        <v>13274751.68</v>
      </c>
      <c r="I51" s="69"/>
      <c r="J51" s="45"/>
      <c r="K51" s="68">
        <f t="shared" si="8"/>
        <v>2</v>
      </c>
      <c r="L51" s="69">
        <f t="shared" si="8"/>
        <v>13274751.68</v>
      </c>
      <c r="M51" s="69"/>
    </row>
    <row r="52" spans="1:13" ht="13.5" thickBot="1" x14ac:dyDescent="0.35">
      <c r="A52" s="75" t="s">
        <v>66</v>
      </c>
      <c r="B52" s="75">
        <f>SUM(B46:B51)</f>
        <v>31</v>
      </c>
      <c r="C52" s="70">
        <f>SUM(C46:C51)</f>
        <v>305468984.14999998</v>
      </c>
      <c r="D52" s="70"/>
      <c r="F52" s="75" t="s">
        <v>66</v>
      </c>
      <c r="G52" s="75">
        <f>SUM(G46:G51)</f>
        <v>31</v>
      </c>
      <c r="H52" s="70">
        <f>SUM(H46:H51)</f>
        <v>219949322.67000002</v>
      </c>
      <c r="I52" s="70"/>
      <c r="J52" s="46"/>
      <c r="K52" s="68">
        <f>SUM(K46:K51)</f>
        <v>0</v>
      </c>
      <c r="L52" s="70">
        <f>SUM(L46:L51)</f>
        <v>-85519661.479999959</v>
      </c>
      <c r="M52" s="70"/>
    </row>
    <row r="53" spans="1:13" ht="13.5" thickTop="1" x14ac:dyDescent="0.3">
      <c r="A53" s="68"/>
      <c r="B53" s="68"/>
      <c r="C53" s="74"/>
      <c r="D53" s="74"/>
      <c r="F53" s="68"/>
      <c r="G53" s="68"/>
      <c r="H53" s="68"/>
      <c r="I53" s="68"/>
      <c r="K53" s="68"/>
      <c r="L53" s="68"/>
      <c r="M53" s="68"/>
    </row>
    <row r="54" spans="1:13" ht="13.5" thickBot="1" x14ac:dyDescent="0.35">
      <c r="A54" s="71" t="s">
        <v>67</v>
      </c>
      <c r="B54" s="71"/>
      <c r="C54" s="72">
        <f>C40+C52</f>
        <v>593305579.10000002</v>
      </c>
      <c r="D54" s="72"/>
      <c r="E54" s="41"/>
      <c r="F54" s="71" t="s">
        <v>67</v>
      </c>
      <c r="G54" s="71"/>
      <c r="H54" s="72">
        <f>H52+H40</f>
        <v>594569056</v>
      </c>
      <c r="I54" s="72"/>
      <c r="J54" s="46"/>
      <c r="K54" s="71"/>
      <c r="L54" s="72">
        <f>L52+L40</f>
        <v>1263476.9000000358</v>
      </c>
      <c r="M54" s="72"/>
    </row>
    <row r="55" spans="1:13" ht="13.5" thickTop="1" x14ac:dyDescent="0.3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6B4D-4AC3-4C7D-9E20-1DB33F5E5BDE}">
  <dimension ref="A1:M56"/>
  <sheetViews>
    <sheetView topLeftCell="A33" workbookViewId="0">
      <selection activeCell="F46" sqref="F46:H50"/>
    </sheetView>
  </sheetViews>
  <sheetFormatPr defaultRowHeight="13" x14ac:dyDescent="0.3"/>
  <cols>
    <col min="1" max="1" width="26" style="35" customWidth="1"/>
    <col min="2" max="2" width="7.90625" style="35" customWidth="1"/>
    <col min="3" max="3" width="15.90625" style="35" bestFit="1" customWidth="1"/>
    <col min="4" max="4" width="13.81640625" style="35" customWidth="1"/>
    <col min="5" max="5" width="2.81640625" style="35" customWidth="1"/>
    <col min="6" max="6" width="26.08984375" style="35" customWidth="1"/>
    <col min="7" max="7" width="6.54296875" style="35" bestFit="1" customWidth="1"/>
    <col min="8" max="8" width="15.6328125" style="35" bestFit="1" customWidth="1"/>
    <col min="9" max="9" width="13.36328125" style="35" bestFit="1" customWidth="1"/>
    <col min="10" max="10" width="3.36328125" style="47" customWidth="1"/>
    <col min="11" max="11" width="5.26953125" style="35" customWidth="1"/>
    <col min="12" max="12" width="14.54296875" style="35" customWidth="1"/>
    <col min="13" max="13" width="13.08984375" style="35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3">
      <c r="A3" s="50">
        <v>44002</v>
      </c>
      <c r="B3" s="49">
        <v>11</v>
      </c>
      <c r="C3" s="51">
        <v>46750025.829999998</v>
      </c>
      <c r="D3" s="51">
        <v>8300000</v>
      </c>
      <c r="F3" s="50">
        <v>44352</v>
      </c>
      <c r="G3" s="49">
        <v>10</v>
      </c>
      <c r="H3" s="51">
        <v>67900000</v>
      </c>
      <c r="I3" s="51">
        <v>14100000</v>
      </c>
      <c r="J3" s="45"/>
      <c r="K3" s="49">
        <f t="shared" ref="K3:L9" si="0">G3-B3</f>
        <v>-1</v>
      </c>
      <c r="L3" s="38">
        <f t="shared" si="0"/>
        <v>21149974.170000002</v>
      </c>
      <c r="M3" s="38">
        <f>D3-I3</f>
        <v>-5800000</v>
      </c>
    </row>
    <row r="4" spans="1:13" x14ac:dyDescent="0.3">
      <c r="A4" s="50">
        <v>44009</v>
      </c>
      <c r="B4" s="49">
        <v>12</v>
      </c>
      <c r="C4" s="51">
        <v>54998839.32</v>
      </c>
      <c r="D4" s="51">
        <v>8930000</v>
      </c>
      <c r="F4" s="50">
        <v>44354</v>
      </c>
      <c r="G4" s="49">
        <v>10</v>
      </c>
      <c r="H4" s="51">
        <v>52466852.020000003</v>
      </c>
      <c r="I4" s="51">
        <f>600000+660000+600000+720000+620000+650000+650000+1500000+870000+1000000</f>
        <v>7870000</v>
      </c>
      <c r="J4" s="45"/>
      <c r="K4" s="49">
        <f t="shared" si="0"/>
        <v>-2</v>
      </c>
      <c r="L4" s="38">
        <f t="shared" si="0"/>
        <v>-2531987.299999997</v>
      </c>
      <c r="M4" s="38">
        <f t="shared" ref="M4:M9" si="1">D4-I4</f>
        <v>1060000</v>
      </c>
    </row>
    <row r="5" spans="1:13" x14ac:dyDescent="0.3">
      <c r="A5" s="50"/>
      <c r="B5" s="49"/>
      <c r="C5" s="51"/>
      <c r="D5" s="51"/>
      <c r="F5" s="50">
        <v>44359</v>
      </c>
      <c r="G5" s="49">
        <v>10</v>
      </c>
      <c r="H5" s="51">
        <v>58011655.32</v>
      </c>
      <c r="I5" s="51">
        <v>7180000</v>
      </c>
      <c r="J5" s="45"/>
      <c r="K5" s="49">
        <f t="shared" si="0"/>
        <v>10</v>
      </c>
      <c r="L5" s="38">
        <f t="shared" si="0"/>
        <v>58011655.32</v>
      </c>
      <c r="M5" s="38">
        <f t="shared" si="1"/>
        <v>-7180000</v>
      </c>
    </row>
    <row r="6" spans="1:13" x14ac:dyDescent="0.3">
      <c r="A6" s="50"/>
      <c r="B6" s="49"/>
      <c r="C6" s="51"/>
      <c r="D6" s="51"/>
      <c r="F6" s="50">
        <v>44366</v>
      </c>
      <c r="G6" s="49">
        <v>9</v>
      </c>
      <c r="H6" s="51">
        <v>54336989.380000003</v>
      </c>
      <c r="I6" s="51">
        <v>7360000</v>
      </c>
      <c r="J6" s="45"/>
      <c r="K6" s="49">
        <f t="shared" si="0"/>
        <v>9</v>
      </c>
      <c r="L6" s="38">
        <f t="shared" si="0"/>
        <v>54336989.380000003</v>
      </c>
      <c r="M6" s="38">
        <f t="shared" si="1"/>
        <v>-7360000</v>
      </c>
    </row>
    <row r="7" spans="1:13" x14ac:dyDescent="0.3">
      <c r="A7" s="50"/>
      <c r="B7" s="49"/>
      <c r="C7" s="51"/>
      <c r="D7" s="51"/>
      <c r="F7" s="50">
        <v>44368</v>
      </c>
      <c r="G7" s="49">
        <v>10</v>
      </c>
      <c r="H7" s="51">
        <v>51761655</v>
      </c>
      <c r="I7" s="51">
        <v>8360000</v>
      </c>
      <c r="J7" s="45"/>
      <c r="K7" s="49">
        <f t="shared" si="0"/>
        <v>10</v>
      </c>
      <c r="L7" s="38">
        <f t="shared" si="0"/>
        <v>51761655</v>
      </c>
      <c r="M7" s="38">
        <f t="shared" si="1"/>
        <v>-8360000</v>
      </c>
    </row>
    <row r="8" spans="1:13" x14ac:dyDescent="0.3">
      <c r="A8" s="50"/>
      <c r="B8" s="49"/>
      <c r="C8" s="51"/>
      <c r="D8" s="51"/>
      <c r="F8" s="50">
        <v>44373</v>
      </c>
      <c r="G8" s="49">
        <v>10</v>
      </c>
      <c r="H8" s="51">
        <v>63177944</v>
      </c>
      <c r="I8" s="51">
        <f>600000+600000+690000+600000+900000+870000+930000+650000+1150000+750000</f>
        <v>7740000</v>
      </c>
      <c r="J8" s="45"/>
      <c r="K8" s="49">
        <f t="shared" si="0"/>
        <v>10</v>
      </c>
      <c r="L8" s="38">
        <f t="shared" si="0"/>
        <v>63177944</v>
      </c>
      <c r="M8" s="38">
        <f t="shared" si="1"/>
        <v>-7740000</v>
      </c>
    </row>
    <row r="9" spans="1:13" x14ac:dyDescent="0.3">
      <c r="A9" s="50"/>
      <c r="B9" s="49"/>
      <c r="C9" s="51"/>
      <c r="D9" s="51"/>
      <c r="F9" s="50">
        <v>44375</v>
      </c>
      <c r="G9" s="49">
        <v>10</v>
      </c>
      <c r="H9" s="51">
        <v>50549645</v>
      </c>
      <c r="I9" s="51">
        <f>620000+660000+600000+720000+500000+900000+1000000+600000+870000+620000</f>
        <v>7090000</v>
      </c>
      <c r="J9" s="45"/>
      <c r="K9" s="49">
        <f t="shared" si="0"/>
        <v>10</v>
      </c>
      <c r="L9" s="38">
        <f t="shared" si="0"/>
        <v>50549645</v>
      </c>
      <c r="M9" s="38">
        <f t="shared" si="1"/>
        <v>-7090000</v>
      </c>
    </row>
    <row r="10" spans="1:13" x14ac:dyDescent="0.3">
      <c r="A10" s="50"/>
      <c r="B10" s="49"/>
      <c r="C10" s="51"/>
      <c r="D10" s="51"/>
      <c r="F10" s="50"/>
      <c r="G10" s="49"/>
      <c r="H10" s="51"/>
      <c r="I10" s="51"/>
      <c r="J10" s="45"/>
      <c r="K10" s="49"/>
      <c r="L10" s="38"/>
      <c r="M10" s="38"/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23</v>
      </c>
      <c r="C12" s="39">
        <f>SUM(C3:C11)</f>
        <v>101748865.15000001</v>
      </c>
      <c r="D12" s="54">
        <f>SUM(D3:D11)</f>
        <v>17230000</v>
      </c>
      <c r="F12" s="52" t="s">
        <v>66</v>
      </c>
      <c r="G12" s="52">
        <f>SUM(G3:G11)</f>
        <v>69</v>
      </c>
      <c r="H12" s="39">
        <f>SUM(H3:H11)</f>
        <v>398204740.72000003</v>
      </c>
      <c r="I12" s="39">
        <f>SUM(I3:I11)</f>
        <v>59700000</v>
      </c>
      <c r="J12" s="46"/>
      <c r="K12" s="14">
        <f>G12-B12</f>
        <v>46</v>
      </c>
      <c r="L12" s="39">
        <f>SUM(L3:L11)</f>
        <v>296455875.56999999</v>
      </c>
      <c r="M12" s="39">
        <f>SUM(M3:M11)</f>
        <v>-42470000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>
        <f>SUM(B3:B11)/COUNT(B3:B11)</f>
        <v>11.5</v>
      </c>
      <c r="C14" s="63">
        <f>SUM(C3:C11)/COUNT(C3:C11)</f>
        <v>50874432.575000003</v>
      </c>
      <c r="D14" s="63">
        <f>SUM(D3:D11)/COUNT(D3:D11)</f>
        <v>8615000</v>
      </c>
      <c r="F14" s="59"/>
      <c r="G14" s="60">
        <f>SUM(G3:G11)/COUNT(G3:G11)</f>
        <v>9.8571428571428577</v>
      </c>
      <c r="H14" s="61">
        <f>SUM(H3:H11)/COUNT(H3:H11)</f>
        <v>56886391.531428576</v>
      </c>
      <c r="I14" s="61">
        <f>SUM(I3:I11)/COUNT(I3:I11)</f>
        <v>8528571.4285714291</v>
      </c>
      <c r="J14" s="48"/>
      <c r="K14" s="62">
        <f>SUM(K3:K11)/COUNT(K3:K11)</f>
        <v>6.5714285714285712</v>
      </c>
      <c r="L14" s="63">
        <f>SUM(L3:L11)/COUNT(L3:L11)</f>
        <v>42350839.367142856</v>
      </c>
      <c r="M14" s="63">
        <f>SUM(M3:M11)/COUNT(M3:M11)</f>
        <v>-6067142.8571428573</v>
      </c>
    </row>
    <row r="15" spans="1:13" x14ac:dyDescent="0.3">
      <c r="H15" s="78"/>
    </row>
    <row r="16" spans="1:13" x14ac:dyDescent="0.3">
      <c r="A16" s="34" t="s">
        <v>71</v>
      </c>
    </row>
    <row r="17" spans="1:13" ht="29.5" thickBot="1" x14ac:dyDescent="0.4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3">
      <c r="A18" s="73">
        <v>43988</v>
      </c>
      <c r="B18" s="68"/>
      <c r="D18" s="74"/>
      <c r="F18" s="73">
        <v>44352</v>
      </c>
      <c r="G18" s="68">
        <v>5</v>
      </c>
      <c r="H18" s="74">
        <v>52150158.969999999</v>
      </c>
      <c r="I18" s="69"/>
      <c r="J18" s="45"/>
      <c r="K18" s="68">
        <f t="shared" ref="K18:K23" si="2">G18-B18</f>
        <v>5</v>
      </c>
      <c r="L18" s="69">
        <f t="shared" ref="L18:L23" si="3">H18-C18</f>
        <v>52150158.969999999</v>
      </c>
      <c r="M18" s="69"/>
    </row>
    <row r="19" spans="1:13" x14ac:dyDescent="0.3">
      <c r="A19" s="73">
        <v>43995</v>
      </c>
      <c r="B19" s="68"/>
      <c r="D19" s="74"/>
      <c r="F19" s="73">
        <v>44359</v>
      </c>
      <c r="G19" s="68">
        <v>7</v>
      </c>
      <c r="H19" s="74">
        <v>58627768.119999997</v>
      </c>
      <c r="I19" s="69"/>
      <c r="J19" s="45"/>
      <c r="K19" s="68">
        <f t="shared" si="2"/>
        <v>7</v>
      </c>
      <c r="L19" s="69">
        <f t="shared" si="3"/>
        <v>58627768.119999997</v>
      </c>
      <c r="M19" s="69"/>
    </row>
    <row r="20" spans="1:13" x14ac:dyDescent="0.3">
      <c r="A20" s="73">
        <v>44002</v>
      </c>
      <c r="B20" s="68"/>
      <c r="D20" s="74"/>
      <c r="F20" s="73">
        <v>44366</v>
      </c>
      <c r="G20" s="68">
        <v>7</v>
      </c>
      <c r="H20" s="74">
        <v>63183597.68</v>
      </c>
      <c r="I20" s="69"/>
      <c r="J20" s="45"/>
      <c r="K20" s="68">
        <f t="shared" si="2"/>
        <v>7</v>
      </c>
      <c r="L20" s="69">
        <f t="shared" si="3"/>
        <v>63183597.68</v>
      </c>
      <c r="M20" s="69"/>
    </row>
    <row r="21" spans="1:13" x14ac:dyDescent="0.3">
      <c r="A21" s="73">
        <v>44009</v>
      </c>
      <c r="B21" s="68"/>
      <c r="D21" s="74"/>
      <c r="F21" s="73">
        <v>44373</v>
      </c>
      <c r="G21" s="68">
        <v>7</v>
      </c>
      <c r="H21" s="74"/>
      <c r="I21" s="69"/>
      <c r="J21" s="45"/>
      <c r="K21" s="68">
        <f t="shared" si="2"/>
        <v>7</v>
      </c>
      <c r="L21" s="69">
        <f t="shared" si="3"/>
        <v>0</v>
      </c>
      <c r="M21" s="69"/>
    </row>
    <row r="22" spans="1:13" x14ac:dyDescent="0.3">
      <c r="A22" s="73">
        <v>44012</v>
      </c>
      <c r="B22" s="68"/>
      <c r="D22" s="74"/>
      <c r="F22" s="73">
        <v>44377</v>
      </c>
      <c r="G22" s="68">
        <v>4</v>
      </c>
      <c r="H22" s="74"/>
      <c r="I22" s="69"/>
      <c r="J22" s="45"/>
      <c r="K22" s="68">
        <f t="shared" si="2"/>
        <v>4</v>
      </c>
      <c r="L22" s="69">
        <f t="shared" si="3"/>
        <v>0</v>
      </c>
      <c r="M22" s="69"/>
    </row>
    <row r="23" spans="1:13" x14ac:dyDescent="0.3">
      <c r="A23" s="73"/>
      <c r="B23" s="68"/>
      <c r="C23" s="74"/>
      <c r="D23" s="74"/>
      <c r="F23" s="73"/>
      <c r="G23" s="68"/>
      <c r="H23" s="74"/>
      <c r="I23" s="69"/>
      <c r="J23" s="45"/>
      <c r="K23" s="68">
        <f t="shared" si="2"/>
        <v>0</v>
      </c>
      <c r="L23" s="69">
        <f t="shared" si="3"/>
        <v>0</v>
      </c>
      <c r="M23" s="69"/>
    </row>
    <row r="24" spans="1:13" ht="14.5" x14ac:dyDescent="0.35">
      <c r="A24" s="73"/>
      <c r="B24" s="68"/>
      <c r="C24" s="74"/>
      <c r="D24" s="74"/>
      <c r="F24" s="73"/>
      <c r="G24" s="68"/>
      <c r="H24" s="82"/>
      <c r="I24" s="69"/>
      <c r="J24" s="45"/>
      <c r="K24" s="68"/>
      <c r="L24" s="69"/>
      <c r="M24" s="69"/>
    </row>
    <row r="25" spans="1:13" ht="13.5" thickBot="1" x14ac:dyDescent="0.35">
      <c r="A25" s="75" t="s">
        <v>66</v>
      </c>
      <c r="B25" s="75">
        <f>SUM(B18:B22)</f>
        <v>0</v>
      </c>
      <c r="C25" s="70">
        <v>0</v>
      </c>
      <c r="D25" s="70"/>
      <c r="F25" s="75" t="s">
        <v>66</v>
      </c>
      <c r="G25" s="75">
        <f>SUM(G18:G24)</f>
        <v>30</v>
      </c>
      <c r="H25" s="70">
        <f>SUM(H18:H24)</f>
        <v>173961524.77000001</v>
      </c>
      <c r="I25" s="70"/>
      <c r="J25" s="46"/>
      <c r="K25" s="68">
        <f>SUM(K18:K24)</f>
        <v>30</v>
      </c>
      <c r="L25" s="70">
        <f>SUM(L18:L24)</f>
        <v>173961524.77000001</v>
      </c>
      <c r="M25" s="70"/>
    </row>
    <row r="26" spans="1:13" ht="13.5" thickTop="1" x14ac:dyDescent="0.3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3" ht="13.5" thickBot="1" x14ac:dyDescent="0.35">
      <c r="A27" s="71" t="s">
        <v>67</v>
      </c>
      <c r="B27" s="71"/>
      <c r="C27" s="72">
        <f>C12+C25</f>
        <v>101748865.15000001</v>
      </c>
      <c r="D27" s="72"/>
      <c r="E27" s="41"/>
      <c r="F27" s="71" t="s">
        <v>67</v>
      </c>
      <c r="G27" s="71"/>
      <c r="H27" s="72">
        <f>H25+H12</f>
        <v>572166265.49000001</v>
      </c>
      <c r="I27" s="72"/>
      <c r="J27" s="46"/>
      <c r="K27" s="71"/>
      <c r="L27" s="72">
        <f>L25+L12</f>
        <v>470417400.34000003</v>
      </c>
      <c r="M27" s="72"/>
    </row>
    <row r="28" spans="1:13" ht="13.5" thickTop="1" x14ac:dyDescent="0.3"/>
    <row r="30" spans="1:13" x14ac:dyDescent="0.3">
      <c r="A30" s="34" t="s">
        <v>73</v>
      </c>
    </row>
    <row r="31" spans="1:13" ht="30" thickBot="1" x14ac:dyDescent="0.45">
      <c r="A31" s="37" t="s">
        <v>63</v>
      </c>
      <c r="B31" s="37" t="s">
        <v>64</v>
      </c>
      <c r="C31" s="37" t="s">
        <v>65</v>
      </c>
      <c r="D31" s="53" t="s">
        <v>74</v>
      </c>
      <c r="E31" s="36"/>
      <c r="F31" s="37" t="s">
        <v>63</v>
      </c>
      <c r="G31" s="37" t="s">
        <v>64</v>
      </c>
      <c r="H31" s="37" t="s">
        <v>65</v>
      </c>
      <c r="I31" s="18" t="s">
        <v>74</v>
      </c>
      <c r="J31" s="44"/>
      <c r="K31" s="64" t="s">
        <v>78</v>
      </c>
      <c r="L31" s="37" t="s">
        <v>76</v>
      </c>
      <c r="M31" s="37" t="s">
        <v>77</v>
      </c>
    </row>
    <row r="32" spans="1:13" ht="13.5" thickTop="1" x14ac:dyDescent="0.3">
      <c r="A32" s="50">
        <v>43617</v>
      </c>
      <c r="B32" s="49">
        <v>10</v>
      </c>
      <c r="C32" s="51">
        <v>49107482.100000001</v>
      </c>
      <c r="D32" s="51">
        <v>7700000</v>
      </c>
      <c r="F32" s="50">
        <f>F3</f>
        <v>44352</v>
      </c>
      <c r="G32" s="49">
        <f>G3</f>
        <v>10</v>
      </c>
      <c r="H32" s="51">
        <f>H3</f>
        <v>67900000</v>
      </c>
      <c r="I32" s="51">
        <f>I3</f>
        <v>14100000</v>
      </c>
      <c r="J32" s="45"/>
      <c r="K32" s="49">
        <f t="shared" ref="K32:L38" si="4">G32-B32</f>
        <v>0</v>
      </c>
      <c r="L32" s="38">
        <f t="shared" si="4"/>
        <v>18792517.899999999</v>
      </c>
      <c r="M32" s="38">
        <f>D32-I32</f>
        <v>-6400000</v>
      </c>
    </row>
    <row r="33" spans="1:13" x14ac:dyDescent="0.3">
      <c r="A33" s="50">
        <v>43621</v>
      </c>
      <c r="B33" s="49">
        <v>10</v>
      </c>
      <c r="C33" s="51">
        <v>42515706.219999999</v>
      </c>
      <c r="D33" s="51">
        <v>7810000</v>
      </c>
      <c r="F33" s="50">
        <f t="shared" ref="F33:F38" si="5">F4</f>
        <v>44354</v>
      </c>
      <c r="G33" s="49">
        <f t="shared" ref="G33:I38" si="6">G4</f>
        <v>10</v>
      </c>
      <c r="H33" s="51">
        <f t="shared" si="6"/>
        <v>52466852.020000003</v>
      </c>
      <c r="I33" s="51">
        <f t="shared" si="6"/>
        <v>7870000</v>
      </c>
      <c r="J33" s="45"/>
      <c r="K33" s="49">
        <f t="shared" si="4"/>
        <v>0</v>
      </c>
      <c r="L33" s="38">
        <f t="shared" si="4"/>
        <v>9951145.8000000045</v>
      </c>
      <c r="M33" s="38">
        <f t="shared" ref="M33:M38" si="7">D33-I33</f>
        <v>-60000</v>
      </c>
    </row>
    <row r="34" spans="1:13" x14ac:dyDescent="0.3">
      <c r="A34" s="50">
        <v>43624</v>
      </c>
      <c r="B34" s="49">
        <v>10</v>
      </c>
      <c r="C34" s="51">
        <v>45248004.640000001</v>
      </c>
      <c r="D34" s="51">
        <v>7330000</v>
      </c>
      <c r="F34" s="50">
        <f t="shared" si="5"/>
        <v>44359</v>
      </c>
      <c r="G34" s="49">
        <f t="shared" si="6"/>
        <v>10</v>
      </c>
      <c r="H34" s="51">
        <f t="shared" si="6"/>
        <v>58011655.32</v>
      </c>
      <c r="I34" s="51">
        <f t="shared" si="6"/>
        <v>7180000</v>
      </c>
      <c r="J34" s="45"/>
      <c r="K34" s="49">
        <f t="shared" si="4"/>
        <v>0</v>
      </c>
      <c r="L34" s="38">
        <f t="shared" si="4"/>
        <v>12763650.68</v>
      </c>
      <c r="M34" s="38">
        <f t="shared" si="7"/>
        <v>150000</v>
      </c>
    </row>
    <row r="35" spans="1:13" x14ac:dyDescent="0.3">
      <c r="A35" s="50">
        <v>43631</v>
      </c>
      <c r="B35" s="49">
        <v>10</v>
      </c>
      <c r="C35" s="51">
        <v>48475378.57</v>
      </c>
      <c r="D35" s="51">
        <v>7680000</v>
      </c>
      <c r="F35" s="50">
        <f t="shared" si="5"/>
        <v>44366</v>
      </c>
      <c r="G35" s="49">
        <f t="shared" si="6"/>
        <v>9</v>
      </c>
      <c r="H35" s="51">
        <f t="shared" si="6"/>
        <v>54336989.380000003</v>
      </c>
      <c r="I35" s="51">
        <f t="shared" si="6"/>
        <v>7360000</v>
      </c>
      <c r="J35" s="45"/>
      <c r="K35" s="49">
        <f t="shared" si="4"/>
        <v>-1</v>
      </c>
      <c r="L35" s="38">
        <f t="shared" si="4"/>
        <v>5861610.8100000024</v>
      </c>
      <c r="M35" s="38">
        <f t="shared" si="7"/>
        <v>320000</v>
      </c>
    </row>
    <row r="36" spans="1:13" x14ac:dyDescent="0.3">
      <c r="A36" s="50">
        <v>43638</v>
      </c>
      <c r="B36" s="49">
        <v>10</v>
      </c>
      <c r="C36" s="51">
        <v>50247806.390000001</v>
      </c>
      <c r="D36" s="51">
        <v>7240000</v>
      </c>
      <c r="F36" s="50">
        <f t="shared" si="5"/>
        <v>44368</v>
      </c>
      <c r="G36" s="49">
        <f t="shared" si="6"/>
        <v>10</v>
      </c>
      <c r="H36" s="51">
        <f t="shared" si="6"/>
        <v>51761655</v>
      </c>
      <c r="I36" s="51">
        <f t="shared" si="6"/>
        <v>8360000</v>
      </c>
      <c r="J36" s="45"/>
      <c r="K36" s="49">
        <f t="shared" si="4"/>
        <v>0</v>
      </c>
      <c r="L36" s="38">
        <f t="shared" si="4"/>
        <v>1513848.6099999994</v>
      </c>
      <c r="M36" s="38">
        <f t="shared" si="7"/>
        <v>-1120000</v>
      </c>
    </row>
    <row r="37" spans="1:13" x14ac:dyDescent="0.3">
      <c r="A37" s="50">
        <v>43645</v>
      </c>
      <c r="B37" s="49">
        <v>12</v>
      </c>
      <c r="C37" s="51">
        <v>62733026.039999999</v>
      </c>
      <c r="D37" s="51">
        <v>17950000</v>
      </c>
      <c r="F37" s="50">
        <f t="shared" si="5"/>
        <v>44373</v>
      </c>
      <c r="G37" s="49">
        <f t="shared" si="6"/>
        <v>10</v>
      </c>
      <c r="H37" s="51">
        <f>H8</f>
        <v>63177944</v>
      </c>
      <c r="I37" s="51">
        <f t="shared" si="6"/>
        <v>7740000</v>
      </c>
      <c r="J37" s="45"/>
      <c r="K37" s="49">
        <f t="shared" si="4"/>
        <v>-2</v>
      </c>
      <c r="L37" s="38">
        <f t="shared" si="4"/>
        <v>444917.96000000089</v>
      </c>
      <c r="M37" s="38">
        <f t="shared" si="7"/>
        <v>10210000</v>
      </c>
    </row>
    <row r="38" spans="1:13" x14ac:dyDescent="0.3">
      <c r="A38" s="50">
        <v>43646</v>
      </c>
      <c r="B38" s="49">
        <v>10</v>
      </c>
      <c r="C38" s="80">
        <v>42779316.770000003</v>
      </c>
      <c r="D38" s="51">
        <v>8130000</v>
      </c>
      <c r="F38" s="50">
        <f t="shared" si="5"/>
        <v>44375</v>
      </c>
      <c r="G38" s="49">
        <f t="shared" si="6"/>
        <v>10</v>
      </c>
      <c r="H38" s="51">
        <v>50549645</v>
      </c>
      <c r="I38" s="51">
        <f>I9</f>
        <v>7090000</v>
      </c>
      <c r="J38" s="45"/>
      <c r="K38" s="49">
        <f t="shared" si="4"/>
        <v>0</v>
      </c>
      <c r="L38" s="38">
        <f t="shared" si="4"/>
        <v>7770328.2299999967</v>
      </c>
      <c r="M38" s="38">
        <f t="shared" si="7"/>
        <v>1040000</v>
      </c>
    </row>
    <row r="39" spans="1:13" x14ac:dyDescent="0.3">
      <c r="A39" s="50"/>
      <c r="B39" s="49"/>
      <c r="C39" s="51"/>
      <c r="D39" s="51"/>
      <c r="F39" s="50"/>
      <c r="G39" s="49"/>
      <c r="H39" s="51"/>
      <c r="I39" s="43"/>
      <c r="J39" s="45"/>
      <c r="K39" s="49"/>
      <c r="L39" s="38"/>
      <c r="M39" s="38"/>
    </row>
    <row r="40" spans="1:13" ht="15" thickBot="1" x14ac:dyDescent="0.4">
      <c r="A40" s="52" t="s">
        <v>66</v>
      </c>
      <c r="B40" s="52">
        <f>SUM(B32:B39)</f>
        <v>72</v>
      </c>
      <c r="C40" s="39">
        <f>SUM(C32:C39)</f>
        <v>341106720.72999996</v>
      </c>
      <c r="D40" s="54">
        <f>SUM(D32:D39)</f>
        <v>63840000</v>
      </c>
      <c r="F40" s="52" t="s">
        <v>66</v>
      </c>
      <c r="G40" s="52">
        <f>SUM(G32:G39)</f>
        <v>69</v>
      </c>
      <c r="H40" s="39">
        <f>SUM(H32:H39)</f>
        <v>398204740.72000003</v>
      </c>
      <c r="I40" s="39">
        <f>SUM(I32:I39)</f>
        <v>59700000</v>
      </c>
      <c r="J40" s="46"/>
      <c r="K40" s="14">
        <f>G40-B40</f>
        <v>-3</v>
      </c>
      <c r="L40" s="39">
        <f>SUM(L32:L39)</f>
        <v>57098019.990000002</v>
      </c>
      <c r="M40" s="39">
        <f>SUM(M32:M39)</f>
        <v>4140000</v>
      </c>
    </row>
    <row r="41" spans="1:13" ht="13.5" thickTop="1" x14ac:dyDescent="0.3">
      <c r="A41" s="49" t="s">
        <v>75</v>
      </c>
      <c r="B41" s="55"/>
      <c r="C41" s="40"/>
      <c r="D41" s="40"/>
      <c r="F41" s="58"/>
      <c r="G41" s="56"/>
      <c r="H41" s="57"/>
      <c r="I41" s="57"/>
      <c r="J41" s="46"/>
      <c r="K41" s="49"/>
      <c r="L41" s="40"/>
      <c r="M41" s="40"/>
    </row>
    <row r="42" spans="1:13" x14ac:dyDescent="0.3">
      <c r="A42" s="65" t="s">
        <v>72</v>
      </c>
      <c r="B42" s="62">
        <f>SUM(B32:B39)/COUNT(B32:B39)</f>
        <v>10.285714285714286</v>
      </c>
      <c r="C42" s="63">
        <f>SUM(C32:C39)/COUNT(C32:C39)</f>
        <v>48729531.532857135</v>
      </c>
      <c r="D42" s="63">
        <f>SUM(D32:D39)/COUNT(D32:D39)</f>
        <v>9120000</v>
      </c>
      <c r="F42" s="59"/>
      <c r="G42" s="60">
        <f>SUM(G32:G39)/COUNT(G32:G39)</f>
        <v>9.8571428571428577</v>
      </c>
      <c r="H42" s="61">
        <f>SUM(H32:H39)/COUNT(H32:H39)</f>
        <v>56886391.531428576</v>
      </c>
      <c r="I42" s="61">
        <f>SUM(I32:I39)/COUNT(I32:I39)</f>
        <v>8528571.4285714291</v>
      </c>
      <c r="J42" s="48"/>
      <c r="K42" s="62">
        <f>SUM(K32:K39)/COUNT(K32:K39)</f>
        <v>-0.42857142857142855</v>
      </c>
      <c r="L42" s="63">
        <f>SUM(L32:L39)/COUNT(L32:L39)</f>
        <v>8156859.9985714285</v>
      </c>
      <c r="M42" s="63">
        <f>SUM(M32:M39)/COUNT(M32:M39)</f>
        <v>591428.57142857148</v>
      </c>
    </row>
    <row r="44" spans="1:13" x14ac:dyDescent="0.3">
      <c r="A44" s="34" t="s">
        <v>71</v>
      </c>
      <c r="I44" s="78"/>
    </row>
    <row r="45" spans="1:13" ht="29.5" thickBot="1" x14ac:dyDescent="0.4">
      <c r="A45" s="76" t="s">
        <v>70</v>
      </c>
      <c r="B45" s="76" t="s">
        <v>69</v>
      </c>
      <c r="C45" s="76" t="s">
        <v>65</v>
      </c>
      <c r="D45" s="76"/>
      <c r="F45" s="76" t="s">
        <v>70</v>
      </c>
      <c r="G45" s="76" t="s">
        <v>69</v>
      </c>
      <c r="H45" s="76" t="s">
        <v>65</v>
      </c>
      <c r="I45" s="76" t="s">
        <v>74</v>
      </c>
      <c r="J45" s="77"/>
      <c r="K45" s="66" t="s">
        <v>78</v>
      </c>
      <c r="L45" s="67" t="s">
        <v>76</v>
      </c>
      <c r="M45" s="67" t="s">
        <v>77</v>
      </c>
    </row>
    <row r="46" spans="1:13" x14ac:dyDescent="0.3">
      <c r="A46" s="73">
        <v>43617</v>
      </c>
      <c r="B46" s="68">
        <v>1</v>
      </c>
      <c r="C46" s="74">
        <v>14331172.34</v>
      </c>
      <c r="D46" s="74"/>
      <c r="F46" s="73">
        <v>44352</v>
      </c>
      <c r="G46" s="68">
        <v>5</v>
      </c>
      <c r="H46" s="74">
        <f>H18</f>
        <v>52150158.969999999</v>
      </c>
      <c r="I46" s="69"/>
      <c r="J46" s="45"/>
      <c r="K46" s="68">
        <f>G46-B46</f>
        <v>4</v>
      </c>
      <c r="L46" s="69">
        <f>H46-C46</f>
        <v>37818986.629999995</v>
      </c>
      <c r="M46" s="69"/>
    </row>
    <row r="47" spans="1:13" x14ac:dyDescent="0.3">
      <c r="A47" s="73">
        <v>43624</v>
      </c>
      <c r="B47" s="68">
        <v>7</v>
      </c>
      <c r="C47" s="74">
        <v>67804040.150000006</v>
      </c>
      <c r="D47" s="74"/>
      <c r="F47" s="73">
        <v>44359</v>
      </c>
      <c r="G47" s="68">
        <v>7</v>
      </c>
      <c r="H47" s="74">
        <f>H19</f>
        <v>58627768.119999997</v>
      </c>
      <c r="I47" s="69"/>
      <c r="J47" s="45"/>
      <c r="K47" s="68">
        <f t="shared" ref="K47:L51" si="8">G47-B47</f>
        <v>0</v>
      </c>
      <c r="L47" s="69">
        <f t="shared" si="8"/>
        <v>-9176272.0300000086</v>
      </c>
      <c r="M47" s="69"/>
    </row>
    <row r="48" spans="1:13" x14ac:dyDescent="0.3">
      <c r="A48" s="73">
        <v>43631</v>
      </c>
      <c r="B48" s="68">
        <v>7</v>
      </c>
      <c r="C48" s="74">
        <v>63723831.32</v>
      </c>
      <c r="D48" s="74"/>
      <c r="F48" s="73">
        <v>44366</v>
      </c>
      <c r="G48" s="68">
        <v>7</v>
      </c>
      <c r="H48" s="74">
        <f>H20</f>
        <v>63183597.68</v>
      </c>
      <c r="I48" s="69"/>
      <c r="J48" s="45"/>
      <c r="K48" s="68">
        <f t="shared" si="8"/>
        <v>0</v>
      </c>
      <c r="L48" s="69">
        <f t="shared" si="8"/>
        <v>-540233.6400000006</v>
      </c>
      <c r="M48" s="69"/>
    </row>
    <row r="49" spans="1:13" x14ac:dyDescent="0.3">
      <c r="A49" s="73">
        <v>43638</v>
      </c>
      <c r="B49" s="68">
        <v>7</v>
      </c>
      <c r="C49" s="74">
        <v>63587060.159999996</v>
      </c>
      <c r="D49" s="74"/>
      <c r="F49" s="73">
        <v>44373</v>
      </c>
      <c r="G49" s="68">
        <v>7</v>
      </c>
      <c r="H49" s="74">
        <v>60675716.630000003</v>
      </c>
      <c r="I49" s="69"/>
      <c r="J49" s="45"/>
      <c r="K49" s="68">
        <f t="shared" si="8"/>
        <v>0</v>
      </c>
      <c r="L49" s="69">
        <f t="shared" si="8"/>
        <v>-2911343.5299999937</v>
      </c>
      <c r="M49" s="69"/>
    </row>
    <row r="50" spans="1:13" x14ac:dyDescent="0.3">
      <c r="A50" s="73">
        <v>43645</v>
      </c>
      <c r="B50" s="68">
        <v>7</v>
      </c>
      <c r="C50" s="74">
        <v>60914451.420000002</v>
      </c>
      <c r="D50" s="74"/>
      <c r="F50" s="73">
        <v>44377</v>
      </c>
      <c r="G50" s="68">
        <v>4</v>
      </c>
      <c r="H50" s="74">
        <v>25888518.09</v>
      </c>
      <c r="I50" s="69"/>
      <c r="J50" s="45"/>
      <c r="K50" s="68">
        <f t="shared" si="8"/>
        <v>-3</v>
      </c>
      <c r="L50" s="69">
        <f t="shared" si="8"/>
        <v>-35025933.329999998</v>
      </c>
      <c r="M50" s="69"/>
    </row>
    <row r="51" spans="1:13" x14ac:dyDescent="0.3">
      <c r="A51" s="73">
        <v>43646</v>
      </c>
      <c r="B51" s="68">
        <v>1</v>
      </c>
      <c r="C51" s="74">
        <v>9236562.7899999991</v>
      </c>
      <c r="D51" s="74"/>
      <c r="F51" s="73"/>
      <c r="G51" s="68"/>
      <c r="H51" s="74"/>
      <c r="I51" s="69"/>
      <c r="J51" s="45"/>
      <c r="K51" s="68"/>
      <c r="L51" s="69">
        <f t="shared" si="8"/>
        <v>-9236562.7899999991</v>
      </c>
      <c r="M51" s="69"/>
    </row>
    <row r="52" spans="1:13" x14ac:dyDescent="0.3">
      <c r="A52" s="73"/>
      <c r="B52" s="68"/>
      <c r="C52" s="74"/>
      <c r="D52" s="74"/>
      <c r="F52" s="73"/>
      <c r="G52" s="68"/>
      <c r="H52" s="74"/>
      <c r="I52" s="69"/>
      <c r="J52" s="45"/>
      <c r="K52" s="68"/>
      <c r="L52" s="69"/>
      <c r="M52" s="69"/>
    </row>
    <row r="53" spans="1:13" ht="13.5" thickBot="1" x14ac:dyDescent="0.35">
      <c r="A53" s="75" t="s">
        <v>66</v>
      </c>
      <c r="B53" s="75">
        <f>SUM(B46:B52)</f>
        <v>30</v>
      </c>
      <c r="C53" s="70">
        <f>SUM(C46:C52)</f>
        <v>279597118.18000001</v>
      </c>
      <c r="D53" s="70"/>
      <c r="F53" s="75" t="s">
        <v>66</v>
      </c>
      <c r="G53" s="75">
        <f>SUM(G46:G52)</f>
        <v>30</v>
      </c>
      <c r="H53" s="70">
        <f>SUM(H46:H52)</f>
        <v>260525759.49000001</v>
      </c>
      <c r="I53" s="70"/>
      <c r="J53" s="46"/>
      <c r="K53" s="68">
        <f>SUM(K46:K52)</f>
        <v>1</v>
      </c>
      <c r="L53" s="70">
        <f>SUM(L46:L52)</f>
        <v>-19071358.690000005</v>
      </c>
      <c r="M53" s="70"/>
    </row>
    <row r="54" spans="1:13" ht="13.5" thickTop="1" x14ac:dyDescent="0.3">
      <c r="A54" s="68"/>
      <c r="B54" s="68"/>
      <c r="C54" s="74"/>
      <c r="D54" s="74"/>
      <c r="F54" s="68"/>
      <c r="G54" s="68"/>
      <c r="H54" s="68"/>
      <c r="I54" s="68"/>
      <c r="K54" s="68"/>
      <c r="L54" s="68"/>
      <c r="M54" s="68"/>
    </row>
    <row r="55" spans="1:13" ht="13.5" thickBot="1" x14ac:dyDescent="0.35">
      <c r="A55" s="71" t="s">
        <v>67</v>
      </c>
      <c r="B55" s="71"/>
      <c r="C55" s="72">
        <f>C40+C53</f>
        <v>620703838.90999997</v>
      </c>
      <c r="D55" s="72"/>
      <c r="E55" s="41"/>
      <c r="F55" s="71" t="s">
        <v>67</v>
      </c>
      <c r="G55" s="71"/>
      <c r="H55" s="72">
        <f>H53+H40</f>
        <v>658730500.21000004</v>
      </c>
      <c r="I55" s="72"/>
      <c r="J55" s="46"/>
      <c r="K55" s="71"/>
      <c r="L55" s="72">
        <f>L53+L40</f>
        <v>38026661.299999997</v>
      </c>
      <c r="M55" s="72"/>
    </row>
    <row r="56" spans="1:13" ht="13.5" thickTop="1" x14ac:dyDescent="0.3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3CB6-C2F5-4890-B400-52002D496C3F}">
  <dimension ref="A1:M62"/>
  <sheetViews>
    <sheetView topLeftCell="A7" workbookViewId="0">
      <selection activeCell="H13" sqref="H13"/>
    </sheetView>
  </sheetViews>
  <sheetFormatPr defaultRowHeight="13" x14ac:dyDescent="0.3"/>
  <cols>
    <col min="1" max="1" width="26" style="35" customWidth="1"/>
    <col min="2" max="2" width="7.90625" style="35" customWidth="1"/>
    <col min="3" max="3" width="15.90625" style="35" bestFit="1" customWidth="1"/>
    <col min="4" max="4" width="13.81640625" style="35" customWidth="1"/>
    <col min="5" max="5" width="2.81640625" style="35" customWidth="1"/>
    <col min="6" max="6" width="26.08984375" style="35" customWidth="1"/>
    <col min="7" max="7" width="6.54296875" style="35" bestFit="1" customWidth="1"/>
    <col min="8" max="8" width="15.6328125" style="35" bestFit="1" customWidth="1"/>
    <col min="9" max="9" width="13.36328125" style="35" bestFit="1" customWidth="1"/>
    <col min="10" max="10" width="3.36328125" style="47" customWidth="1"/>
    <col min="11" max="11" width="5.26953125" style="35" customWidth="1"/>
    <col min="12" max="12" width="14.54296875" style="35" customWidth="1"/>
    <col min="13" max="13" width="13.08984375" style="35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3">
      <c r="A3" s="50">
        <v>44016</v>
      </c>
      <c r="B3" s="49">
        <v>11</v>
      </c>
      <c r="C3" s="51">
        <v>52978426.18</v>
      </c>
      <c r="D3" s="51">
        <v>7780000</v>
      </c>
      <c r="F3" s="50">
        <v>44380</v>
      </c>
      <c r="G3" s="49">
        <v>9</v>
      </c>
      <c r="H3" s="51">
        <v>61838444.049999997</v>
      </c>
      <c r="I3" s="51">
        <v>10350000</v>
      </c>
      <c r="J3" s="45"/>
      <c r="K3" s="49">
        <f t="shared" ref="K3:L9" si="0">G3-B3</f>
        <v>-2</v>
      </c>
      <c r="L3" s="38">
        <f t="shared" si="0"/>
        <v>8860017.8699999973</v>
      </c>
      <c r="M3" s="38">
        <f>D3-I3</f>
        <v>-2570000</v>
      </c>
    </row>
    <row r="4" spans="1:13" x14ac:dyDescent="0.3">
      <c r="A4" s="50">
        <v>44033</v>
      </c>
      <c r="B4" s="49">
        <v>10</v>
      </c>
      <c r="C4" s="51">
        <v>39363505.799999997</v>
      </c>
      <c r="D4" s="51">
        <v>7700000</v>
      </c>
      <c r="F4" s="50">
        <v>44382</v>
      </c>
      <c r="G4" s="49">
        <v>9</v>
      </c>
      <c r="H4" s="51">
        <v>45035302.840000004</v>
      </c>
      <c r="I4" s="51">
        <v>6710000</v>
      </c>
      <c r="J4" s="45"/>
      <c r="K4" s="49">
        <f t="shared" si="0"/>
        <v>-1</v>
      </c>
      <c r="L4" s="38">
        <f t="shared" si="0"/>
        <v>5671797.0400000066</v>
      </c>
      <c r="M4" s="38">
        <f t="shared" ref="M4:M9" si="1">D4-I4</f>
        <v>990000</v>
      </c>
    </row>
    <row r="5" spans="1:13" x14ac:dyDescent="0.3">
      <c r="A5" s="50">
        <v>44023</v>
      </c>
      <c r="B5" s="49">
        <v>11</v>
      </c>
      <c r="C5" s="51">
        <v>50209662.280000001</v>
      </c>
      <c r="D5" s="51">
        <v>8228000</v>
      </c>
      <c r="F5" s="50">
        <v>44387</v>
      </c>
      <c r="G5" s="49">
        <v>10</v>
      </c>
      <c r="H5" s="51">
        <v>58699220</v>
      </c>
      <c r="I5" s="51">
        <v>7480000</v>
      </c>
      <c r="J5" s="45"/>
      <c r="K5" s="49">
        <f t="shared" si="0"/>
        <v>-1</v>
      </c>
      <c r="L5" s="38">
        <f t="shared" si="0"/>
        <v>8489557.7199999988</v>
      </c>
      <c r="M5" s="38">
        <f t="shared" si="1"/>
        <v>748000</v>
      </c>
    </row>
    <row r="6" spans="1:13" x14ac:dyDescent="0.3">
      <c r="A6" s="50">
        <v>44024</v>
      </c>
      <c r="B6" s="49">
        <v>9</v>
      </c>
      <c r="C6" s="51">
        <v>33587476.740000002</v>
      </c>
      <c r="D6" s="51">
        <v>7010000</v>
      </c>
      <c r="F6" s="50">
        <v>44389</v>
      </c>
      <c r="G6" s="49">
        <v>9</v>
      </c>
      <c r="H6" s="51">
        <v>42871174.789999999</v>
      </c>
      <c r="I6" s="51">
        <v>6640000</v>
      </c>
      <c r="J6" s="45"/>
      <c r="K6" s="49">
        <f t="shared" si="0"/>
        <v>0</v>
      </c>
      <c r="L6" s="38">
        <f t="shared" si="0"/>
        <v>9283698.049999997</v>
      </c>
      <c r="M6" s="38">
        <f t="shared" si="1"/>
        <v>370000</v>
      </c>
    </row>
    <row r="7" spans="1:13" x14ac:dyDescent="0.3">
      <c r="A7" s="50">
        <v>44030</v>
      </c>
      <c r="B7" s="49">
        <v>10</v>
      </c>
      <c r="C7" s="51">
        <v>51082647.329999998</v>
      </c>
      <c r="D7" s="51">
        <v>6810000</v>
      </c>
      <c r="F7" s="50">
        <v>44394</v>
      </c>
      <c r="G7" s="49">
        <v>10</v>
      </c>
      <c r="H7" s="51">
        <f>59188363</f>
        <v>59188363</v>
      </c>
      <c r="I7" s="51">
        <f>500000+690000+720000+900000+650000+600000+930000+870000+2000000+900000</f>
        <v>8760000</v>
      </c>
      <c r="J7" s="45"/>
      <c r="K7" s="49">
        <f t="shared" si="0"/>
        <v>0</v>
      </c>
      <c r="L7" s="38">
        <f t="shared" si="0"/>
        <v>8105715.6700000018</v>
      </c>
      <c r="M7" s="38">
        <f t="shared" si="1"/>
        <v>-1950000</v>
      </c>
    </row>
    <row r="8" spans="1:13" x14ac:dyDescent="0.3">
      <c r="A8" s="50">
        <v>44037</v>
      </c>
      <c r="B8" s="49">
        <v>11</v>
      </c>
      <c r="C8" s="51">
        <v>57477070.289999999</v>
      </c>
      <c r="D8" s="51">
        <v>10490000</v>
      </c>
      <c r="F8" s="50">
        <v>44401</v>
      </c>
      <c r="G8" s="49">
        <v>10</v>
      </c>
      <c r="H8" s="51">
        <v>66507737</v>
      </c>
      <c r="I8" s="51">
        <v>7390000</v>
      </c>
      <c r="J8" s="45"/>
      <c r="K8" s="49">
        <f t="shared" si="0"/>
        <v>-1</v>
      </c>
      <c r="L8" s="38">
        <f t="shared" si="0"/>
        <v>9030666.7100000009</v>
      </c>
      <c r="M8" s="38">
        <f t="shared" si="1"/>
        <v>3100000</v>
      </c>
    </row>
    <row r="9" spans="1:13" x14ac:dyDescent="0.3">
      <c r="A9" s="50">
        <v>44038</v>
      </c>
      <c r="B9" s="49">
        <v>10</v>
      </c>
      <c r="C9" s="51">
        <v>47841720.43</v>
      </c>
      <c r="D9" s="51">
        <v>8590000</v>
      </c>
      <c r="F9" s="50">
        <v>44408</v>
      </c>
      <c r="G9" s="49">
        <v>10</v>
      </c>
      <c r="H9" s="51">
        <v>59293946</v>
      </c>
      <c r="I9" s="51">
        <v>8130000</v>
      </c>
      <c r="J9" s="45"/>
      <c r="K9" s="49">
        <f t="shared" si="0"/>
        <v>0</v>
      </c>
      <c r="L9" s="38">
        <f t="shared" si="0"/>
        <v>11452225.57</v>
      </c>
      <c r="M9" s="38">
        <f t="shared" si="1"/>
        <v>460000</v>
      </c>
    </row>
    <row r="10" spans="1:13" x14ac:dyDescent="0.3">
      <c r="A10" s="50"/>
      <c r="B10" s="49"/>
      <c r="C10" s="51"/>
      <c r="D10" s="51"/>
      <c r="F10" s="50"/>
      <c r="G10" s="49"/>
      <c r="H10" s="51"/>
      <c r="I10" s="51"/>
      <c r="J10" s="45"/>
      <c r="K10" s="49"/>
      <c r="L10" s="38"/>
      <c r="M10" s="38"/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72</v>
      </c>
      <c r="C12" s="39">
        <f>SUM(C3:C11)</f>
        <v>332540509.05000001</v>
      </c>
      <c r="D12" s="54">
        <f>SUM(D3:D11)</f>
        <v>56608000</v>
      </c>
      <c r="F12" s="52" t="s">
        <v>66</v>
      </c>
      <c r="G12" s="52">
        <f>SUM(G3:G11)</f>
        <v>67</v>
      </c>
      <c r="H12" s="39">
        <f>SUM(H3:H11)</f>
        <v>393434187.67999995</v>
      </c>
      <c r="I12" s="39">
        <f>SUM(I3:I11)</f>
        <v>55460000</v>
      </c>
      <c r="J12" s="46"/>
      <c r="K12" s="14">
        <f>G12-B12</f>
        <v>-5</v>
      </c>
      <c r="L12" s="39">
        <f>SUM(L3:L11)</f>
        <v>60893678.630000003</v>
      </c>
      <c r="M12" s="39">
        <f>SUM(M3:M11)</f>
        <v>1148000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>
        <f>SUM(B3:B11)/COUNT(B3:B11)</f>
        <v>10.285714285714286</v>
      </c>
      <c r="C14" s="63">
        <f>SUM(C3:C11)/COUNT(C3:C11)</f>
        <v>47505787.007142857</v>
      </c>
      <c r="D14" s="63">
        <f>SUM(D3:D11)/COUNT(D3:D11)</f>
        <v>8086857.1428571427</v>
      </c>
      <c r="F14" s="59"/>
      <c r="G14" s="60">
        <f>SUM(G3:G11)/COUNT(G3:G11)</f>
        <v>9.5714285714285712</v>
      </c>
      <c r="H14" s="61">
        <f>SUM(H3:H11)/COUNT(H3:H11)</f>
        <v>56204883.954285704</v>
      </c>
      <c r="I14" s="61">
        <f>SUM(I3:I11)/COUNT(I3:I11)</f>
        <v>7922857.1428571427</v>
      </c>
      <c r="J14" s="48"/>
      <c r="K14" s="62">
        <f>SUM(K3:K11)/COUNT(K3:K11)</f>
        <v>-0.7142857142857143</v>
      </c>
      <c r="L14" s="63">
        <f>SUM(L3:L11)/COUNT(L3:L11)</f>
        <v>8699096.9471428581</v>
      </c>
      <c r="M14" s="63">
        <f>SUM(M3:M11)/COUNT(M3:M11)</f>
        <v>164000</v>
      </c>
    </row>
    <row r="15" spans="1:13" x14ac:dyDescent="0.3">
      <c r="A15" s="83"/>
      <c r="B15" s="84"/>
      <c r="C15" s="85"/>
      <c r="D15" s="85"/>
      <c r="F15" s="83"/>
      <c r="G15" s="84"/>
      <c r="H15" s="85"/>
      <c r="I15" s="85"/>
      <c r="J15" s="48"/>
      <c r="K15" s="84"/>
      <c r="L15" s="85"/>
      <c r="M15" s="85"/>
    </row>
    <row r="16" spans="1:13" x14ac:dyDescent="0.3">
      <c r="A16" s="83"/>
      <c r="B16" s="84"/>
      <c r="C16" s="85"/>
      <c r="D16" s="85"/>
      <c r="F16" s="83"/>
      <c r="G16" s="84"/>
      <c r="H16" s="85"/>
      <c r="I16" s="85"/>
      <c r="J16" s="48"/>
      <c r="K16" s="84"/>
      <c r="L16" s="85"/>
      <c r="M16" s="85"/>
    </row>
    <row r="17" spans="1:13" x14ac:dyDescent="0.3">
      <c r="A17" s="83"/>
      <c r="B17" s="84"/>
      <c r="C17" s="85"/>
      <c r="D17" s="85"/>
      <c r="F17" s="83"/>
      <c r="G17" s="84"/>
      <c r="H17" s="85"/>
      <c r="I17" s="85"/>
      <c r="J17" s="48"/>
      <c r="K17" s="84"/>
      <c r="L17" s="85"/>
      <c r="M17" s="85"/>
    </row>
    <row r="18" spans="1:13" x14ac:dyDescent="0.3">
      <c r="H18" s="78"/>
    </row>
    <row r="19" spans="1:13" x14ac:dyDescent="0.3">
      <c r="A19" s="34" t="s">
        <v>71</v>
      </c>
    </row>
    <row r="20" spans="1:13" ht="29.5" thickBot="1" x14ac:dyDescent="0.4">
      <c r="A20" s="76" t="s">
        <v>70</v>
      </c>
      <c r="B20" s="76" t="s">
        <v>69</v>
      </c>
      <c r="C20" s="76" t="s">
        <v>65</v>
      </c>
      <c r="D20" s="76"/>
      <c r="F20" s="76" t="s">
        <v>70</v>
      </c>
      <c r="G20" s="76" t="s">
        <v>69</v>
      </c>
      <c r="H20" s="76" t="s">
        <v>65</v>
      </c>
      <c r="I20" s="76" t="s">
        <v>74</v>
      </c>
      <c r="J20" s="77"/>
      <c r="K20" s="66" t="s">
        <v>78</v>
      </c>
      <c r="L20" s="67" t="s">
        <v>76</v>
      </c>
      <c r="M20" s="67" t="s">
        <v>77</v>
      </c>
    </row>
    <row r="21" spans="1:13" x14ac:dyDescent="0.3">
      <c r="A21" s="73">
        <v>44016</v>
      </c>
      <c r="B21" s="68">
        <v>4</v>
      </c>
      <c r="C21" s="86">
        <v>32054831.98</v>
      </c>
      <c r="D21" s="74"/>
      <c r="F21" s="73">
        <v>44380</v>
      </c>
      <c r="G21" s="68">
        <v>3</v>
      </c>
      <c r="H21" s="74">
        <v>36166638.450000003</v>
      </c>
      <c r="I21" s="69"/>
      <c r="J21" s="45"/>
      <c r="K21" s="68">
        <f t="shared" ref="K21:L26" si="2">G21-B21</f>
        <v>-1</v>
      </c>
      <c r="L21" s="69">
        <f>H21-C21</f>
        <v>4111806.4700000025</v>
      </c>
      <c r="M21" s="69"/>
    </row>
    <row r="22" spans="1:13" x14ac:dyDescent="0.3">
      <c r="A22" s="73">
        <v>44023</v>
      </c>
      <c r="B22" s="68">
        <v>7</v>
      </c>
      <c r="C22" s="86">
        <v>48639694.200000003</v>
      </c>
      <c r="D22" s="74"/>
      <c r="F22" s="73">
        <v>44387</v>
      </c>
      <c r="G22" s="68">
        <v>7</v>
      </c>
      <c r="H22" s="74">
        <f>16905227+49909278.47</f>
        <v>66814505.469999999</v>
      </c>
      <c r="I22" s="69"/>
      <c r="J22" s="45"/>
      <c r="K22" s="68">
        <f t="shared" si="2"/>
        <v>0</v>
      </c>
      <c r="L22" s="69">
        <f>H22-C22</f>
        <v>18174811.269999996</v>
      </c>
      <c r="M22" s="69"/>
    </row>
    <row r="23" spans="1:13" x14ac:dyDescent="0.3">
      <c r="A23" s="73">
        <v>44030</v>
      </c>
      <c r="B23" s="68">
        <v>7</v>
      </c>
      <c r="C23" s="86">
        <v>49446140.659999996</v>
      </c>
      <c r="D23" s="74"/>
      <c r="F23" s="73">
        <v>44394</v>
      </c>
      <c r="G23" s="68">
        <v>7</v>
      </c>
      <c r="H23" s="74">
        <f>52273683.88+18434883.46</f>
        <v>70708567.340000004</v>
      </c>
      <c r="I23" s="69"/>
      <c r="J23" s="45"/>
      <c r="K23" s="68">
        <f t="shared" si="2"/>
        <v>0</v>
      </c>
      <c r="L23" s="69">
        <f>H23-C23</f>
        <v>21262426.680000007</v>
      </c>
      <c r="M23" s="69"/>
    </row>
    <row r="24" spans="1:13" x14ac:dyDescent="0.3">
      <c r="A24" s="73">
        <v>44037</v>
      </c>
      <c r="B24" s="68">
        <v>7</v>
      </c>
      <c r="C24" s="86">
        <v>62056999.539999999</v>
      </c>
      <c r="D24" s="74"/>
      <c r="F24" s="73">
        <v>44401</v>
      </c>
      <c r="G24" s="68">
        <v>7</v>
      </c>
      <c r="H24" s="74">
        <f>53822532.65+17019944.82</f>
        <v>70842477.469999999</v>
      </c>
      <c r="I24" s="69"/>
      <c r="J24" s="45"/>
      <c r="K24" s="68">
        <f t="shared" si="2"/>
        <v>0</v>
      </c>
      <c r="L24" s="69">
        <f t="shared" si="2"/>
        <v>8785477.9299999997</v>
      </c>
      <c r="M24" s="69"/>
    </row>
    <row r="25" spans="1:13" x14ac:dyDescent="0.3">
      <c r="A25" s="73">
        <v>44043</v>
      </c>
      <c r="B25" s="68">
        <v>6</v>
      </c>
      <c r="C25" s="86">
        <v>59208620.840000004</v>
      </c>
      <c r="D25" s="74"/>
      <c r="F25" s="73">
        <v>44408</v>
      </c>
      <c r="G25" s="68">
        <v>7</v>
      </c>
      <c r="H25" s="74">
        <f>51386228.36+15833704.88</f>
        <v>67219933.239999995</v>
      </c>
      <c r="I25" s="69"/>
      <c r="J25" s="45"/>
      <c r="K25" s="68">
        <f t="shared" si="2"/>
        <v>1</v>
      </c>
      <c r="L25" s="69">
        <f t="shared" si="2"/>
        <v>8011312.3999999911</v>
      </c>
      <c r="M25" s="69"/>
    </row>
    <row r="26" spans="1:13" x14ac:dyDescent="0.3">
      <c r="A26" s="73"/>
      <c r="B26" s="68"/>
      <c r="C26" s="87"/>
      <c r="D26" s="74"/>
      <c r="F26" s="73"/>
      <c r="G26" s="68"/>
      <c r="H26" s="74"/>
      <c r="I26" s="69"/>
      <c r="J26" s="45"/>
      <c r="K26" s="68">
        <f t="shared" si="2"/>
        <v>0</v>
      </c>
      <c r="L26" s="69">
        <f t="shared" si="2"/>
        <v>0</v>
      </c>
      <c r="M26" s="69"/>
    </row>
    <row r="27" spans="1:13" ht="14.5" x14ac:dyDescent="0.35">
      <c r="A27" s="73"/>
      <c r="B27" s="68"/>
      <c r="C27" s="87"/>
      <c r="D27" s="74"/>
      <c r="F27" s="73"/>
      <c r="G27" s="68"/>
      <c r="H27" s="82"/>
      <c r="I27" s="69"/>
      <c r="J27" s="45"/>
      <c r="K27" s="68"/>
      <c r="L27" s="69"/>
      <c r="M27" s="69"/>
    </row>
    <row r="28" spans="1:13" ht="13.5" thickBot="1" x14ac:dyDescent="0.35">
      <c r="A28" s="75" t="s">
        <v>66</v>
      </c>
      <c r="B28" s="75">
        <f>SUM(B21:B25)</f>
        <v>31</v>
      </c>
      <c r="C28" s="88">
        <f>SUM(C21:C26)</f>
        <v>251406287.22</v>
      </c>
      <c r="D28" s="70"/>
      <c r="F28" s="75" t="s">
        <v>66</v>
      </c>
      <c r="G28" s="75">
        <f>SUM(G21:G27)</f>
        <v>31</v>
      </c>
      <c r="H28" s="70">
        <f>SUM(H21:H27)</f>
        <v>311752121.96999997</v>
      </c>
      <c r="I28" s="70"/>
      <c r="J28" s="46"/>
      <c r="K28" s="68">
        <f>SUM(K21:K27)</f>
        <v>0</v>
      </c>
      <c r="L28" s="70">
        <f>SUM(L21:L27)</f>
        <v>60345834.749999993</v>
      </c>
      <c r="M28" s="70"/>
    </row>
    <row r="29" spans="1:13" ht="13.5" thickTop="1" x14ac:dyDescent="0.3">
      <c r="A29" s="68"/>
      <c r="B29" s="68"/>
      <c r="C29" s="74"/>
      <c r="D29" s="74"/>
      <c r="F29" s="68"/>
      <c r="G29" s="68"/>
      <c r="H29" s="68"/>
      <c r="I29" s="68"/>
      <c r="K29" s="68"/>
      <c r="L29" s="68"/>
      <c r="M29" s="68"/>
    </row>
    <row r="30" spans="1:13" ht="13.5" thickBot="1" x14ac:dyDescent="0.35">
      <c r="A30" s="71" t="s">
        <v>67</v>
      </c>
      <c r="B30" s="71"/>
      <c r="C30" s="72">
        <f>C12+C28</f>
        <v>583946796.26999998</v>
      </c>
      <c r="D30" s="72"/>
      <c r="E30" s="41"/>
      <c r="F30" s="71" t="s">
        <v>67</v>
      </c>
      <c r="G30" s="71"/>
      <c r="H30" s="72">
        <f>H28+H12</f>
        <v>705186309.64999986</v>
      </c>
      <c r="I30" s="72"/>
      <c r="J30" s="46"/>
      <c r="K30" s="71"/>
      <c r="L30" s="72">
        <f>L28+L12</f>
        <v>121239513.38</v>
      </c>
      <c r="M30" s="72"/>
    </row>
    <row r="31" spans="1:13" ht="13.5" thickTop="1" x14ac:dyDescent="0.3"/>
    <row r="33" spans="1:13" x14ac:dyDescent="0.3">
      <c r="H33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3">F3</f>
        <v>44380</v>
      </c>
      <c r="G38" s="49">
        <f t="shared" si="3"/>
        <v>9</v>
      </c>
      <c r="H38" s="51">
        <f t="shared" si="3"/>
        <v>61838444.049999997</v>
      </c>
      <c r="I38" s="51">
        <f t="shared" si="3"/>
        <v>10350000</v>
      </c>
      <c r="J38" s="45"/>
      <c r="K38" s="49">
        <f t="shared" ref="K38:L44" si="4">G38-B38</f>
        <v>-1</v>
      </c>
      <c r="L38" s="38">
        <f t="shared" si="4"/>
        <v>12730961.949999996</v>
      </c>
      <c r="M38" s="38">
        <f>D38-I38</f>
        <v>-2650000</v>
      </c>
    </row>
    <row r="39" spans="1:13" x14ac:dyDescent="0.3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3"/>
        <v>44382</v>
      </c>
      <c r="G39" s="49">
        <f t="shared" si="3"/>
        <v>9</v>
      </c>
      <c r="H39" s="51">
        <f t="shared" si="3"/>
        <v>45035302.840000004</v>
      </c>
      <c r="I39" s="51">
        <f t="shared" si="3"/>
        <v>6710000</v>
      </c>
      <c r="J39" s="45"/>
      <c r="K39" s="49">
        <f t="shared" si="4"/>
        <v>-1</v>
      </c>
      <c r="L39" s="38">
        <f t="shared" si="4"/>
        <v>2519596.6200000048</v>
      </c>
      <c r="M39" s="38">
        <f t="shared" ref="M39:M44" si="5">D39-I39</f>
        <v>1100000</v>
      </c>
    </row>
    <row r="40" spans="1:13" x14ac:dyDescent="0.3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3"/>
        <v>44387</v>
      </c>
      <c r="G40" s="49">
        <f t="shared" si="3"/>
        <v>10</v>
      </c>
      <c r="H40" s="51">
        <f t="shared" si="3"/>
        <v>58699220</v>
      </c>
      <c r="I40" s="51">
        <f t="shared" si="3"/>
        <v>7480000</v>
      </c>
      <c r="J40" s="45"/>
      <c r="K40" s="49">
        <f t="shared" si="4"/>
        <v>0</v>
      </c>
      <c r="L40" s="38">
        <f t="shared" si="4"/>
        <v>13451215.359999999</v>
      </c>
      <c r="M40" s="38">
        <f t="shared" si="5"/>
        <v>-150000</v>
      </c>
    </row>
    <row r="41" spans="1:13" x14ac:dyDescent="0.3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3"/>
        <v>44389</v>
      </c>
      <c r="G41" s="49">
        <f t="shared" si="3"/>
        <v>9</v>
      </c>
      <c r="H41" s="51">
        <f t="shared" si="3"/>
        <v>42871174.789999999</v>
      </c>
      <c r="I41" s="51">
        <f t="shared" si="3"/>
        <v>6640000</v>
      </c>
      <c r="J41" s="45"/>
      <c r="K41" s="49">
        <f t="shared" si="4"/>
        <v>-1</v>
      </c>
      <c r="L41" s="38">
        <f t="shared" si="4"/>
        <v>-5604203.7800000012</v>
      </c>
      <c r="M41" s="38">
        <f t="shared" si="5"/>
        <v>1040000</v>
      </c>
    </row>
    <row r="42" spans="1:13" x14ac:dyDescent="0.3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3"/>
        <v>44394</v>
      </c>
      <c r="G42" s="49">
        <f t="shared" si="3"/>
        <v>10</v>
      </c>
      <c r="H42" s="51">
        <f t="shared" si="3"/>
        <v>59188363</v>
      </c>
      <c r="I42" s="51">
        <f t="shared" si="3"/>
        <v>8760000</v>
      </c>
      <c r="J42" s="45"/>
      <c r="K42" s="49">
        <f t="shared" si="4"/>
        <v>0</v>
      </c>
      <c r="L42" s="38">
        <f t="shared" si="4"/>
        <v>8940556.6099999994</v>
      </c>
      <c r="M42" s="38">
        <f t="shared" si="5"/>
        <v>-1520000</v>
      </c>
    </row>
    <row r="43" spans="1:13" x14ac:dyDescent="0.3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3"/>
        <v>44401</v>
      </c>
      <c r="G43" s="49">
        <f t="shared" si="3"/>
        <v>10</v>
      </c>
      <c r="H43" s="51">
        <f t="shared" si="3"/>
        <v>66507737</v>
      </c>
      <c r="I43" s="51">
        <f t="shared" si="3"/>
        <v>7390000</v>
      </c>
      <c r="J43" s="45"/>
      <c r="K43" s="49">
        <f t="shared" si="4"/>
        <v>-2</v>
      </c>
      <c r="L43" s="38">
        <f t="shared" si="4"/>
        <v>3774710.9600000009</v>
      </c>
      <c r="M43" s="38">
        <f t="shared" si="5"/>
        <v>10560000</v>
      </c>
    </row>
    <row r="44" spans="1:13" x14ac:dyDescent="0.3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3"/>
        <v>44408</v>
      </c>
      <c r="G44" s="49">
        <f t="shared" si="3"/>
        <v>10</v>
      </c>
      <c r="H44" s="51">
        <f t="shared" si="3"/>
        <v>59293946</v>
      </c>
      <c r="I44" s="51">
        <f t="shared" si="3"/>
        <v>8130000</v>
      </c>
      <c r="J44" s="45"/>
      <c r="K44" s="49">
        <f t="shared" si="4"/>
        <v>0</v>
      </c>
      <c r="L44" s="38">
        <f t="shared" si="4"/>
        <v>16514629.229999997</v>
      </c>
      <c r="M44" s="38">
        <f t="shared" si="5"/>
        <v>0</v>
      </c>
    </row>
    <row r="45" spans="1:13" x14ac:dyDescent="0.3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" thickBot="1" x14ac:dyDescent="0.4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67</v>
      </c>
      <c r="H46" s="39">
        <f>SUM(H38:H45)</f>
        <v>393434187.67999995</v>
      </c>
      <c r="I46" s="39">
        <f>SUM(I38:I45)</f>
        <v>55460000</v>
      </c>
      <c r="J46" s="46"/>
      <c r="K46" s="14">
        <f>G46-B46</f>
        <v>-5</v>
      </c>
      <c r="L46" s="39">
        <f>SUM(L38:L45)</f>
        <v>52327466.949999996</v>
      </c>
      <c r="M46" s="39">
        <f>SUM(M38:M45)</f>
        <v>8380000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9.5714285714285712</v>
      </c>
      <c r="H48" s="61">
        <f>SUM(H38:H45)/COUNT(H38:H45)</f>
        <v>56204883.954285704</v>
      </c>
      <c r="I48" s="61">
        <f>SUM(I38:I45)/COUNT(I38:I45)</f>
        <v>7922857.1428571427</v>
      </c>
      <c r="J48" s="48"/>
      <c r="K48" s="62">
        <f>SUM(K38:K45)/COUNT(K38:K45)</f>
        <v>-0.7142857142857143</v>
      </c>
      <c r="L48" s="63">
        <f>SUM(L38:L45)/COUNT(L38:L45)</f>
        <v>7475352.4214285705</v>
      </c>
      <c r="M48" s="63">
        <f>SUM(M38:M45)/COUNT(M38:M45)</f>
        <v>1197142.857142857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43617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H21</f>
        <v>36166638.450000003</v>
      </c>
      <c r="I52" s="69"/>
      <c r="J52" s="45"/>
      <c r="K52" s="68">
        <f>G52-B52</f>
        <v>4</v>
      </c>
      <c r="L52" s="69">
        <f>H52-C52</f>
        <v>21835466.110000003</v>
      </c>
      <c r="M52" s="69"/>
    </row>
    <row r="53" spans="1:13" x14ac:dyDescent="0.3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H22</f>
        <v>66814505.469999999</v>
      </c>
      <c r="I53" s="69"/>
      <c r="J53" s="45"/>
      <c r="K53" s="68">
        <f t="shared" ref="K53:L57" si="6">G53-B53</f>
        <v>0</v>
      </c>
      <c r="L53" s="69">
        <f t="shared" si="6"/>
        <v>-989534.68000000715</v>
      </c>
      <c r="M53" s="69"/>
    </row>
    <row r="54" spans="1:13" x14ac:dyDescent="0.3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H23</f>
        <v>70708567.340000004</v>
      </c>
      <c r="I54" s="69"/>
      <c r="J54" s="45"/>
      <c r="K54" s="68">
        <f t="shared" si="6"/>
        <v>0</v>
      </c>
      <c r="L54" s="69">
        <f t="shared" si="6"/>
        <v>6984736.0200000033</v>
      </c>
      <c r="M54" s="69"/>
    </row>
    <row r="55" spans="1:13" x14ac:dyDescent="0.3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H24</f>
        <v>70842477.469999999</v>
      </c>
      <c r="I55" s="69"/>
      <c r="J55" s="45"/>
      <c r="K55" s="68">
        <f t="shared" si="6"/>
        <v>0</v>
      </c>
      <c r="L55" s="69">
        <f t="shared" si="6"/>
        <v>7255417.3100000024</v>
      </c>
      <c r="M55" s="69"/>
    </row>
    <row r="56" spans="1:13" x14ac:dyDescent="0.3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H25</f>
        <v>67219933.239999995</v>
      </c>
      <c r="I56" s="69"/>
      <c r="J56" s="45"/>
      <c r="K56" s="68">
        <f t="shared" si="6"/>
        <v>-3</v>
      </c>
      <c r="L56" s="69">
        <f t="shared" si="6"/>
        <v>6305481.8199999928</v>
      </c>
      <c r="M56" s="69"/>
    </row>
    <row r="57" spans="1:13" x14ac:dyDescent="0.3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6"/>
        <v>-9236562.7899999991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311752121.96999997</v>
      </c>
      <c r="I59" s="70"/>
      <c r="J59" s="46"/>
      <c r="K59" s="68">
        <f>SUM(K52:K58)</f>
        <v>1</v>
      </c>
      <c r="L59" s="70">
        <f>SUM(L52:L58)</f>
        <v>32155003.789999999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705186309.64999986</v>
      </c>
      <c r="I61" s="72"/>
      <c r="J61" s="46"/>
      <c r="K61" s="71"/>
      <c r="L61" s="72">
        <f>L59+L46</f>
        <v>84482470.739999995</v>
      </c>
      <c r="M61" s="72"/>
    </row>
    <row r="62" spans="1:13" ht="13.5" thickTop="1" x14ac:dyDescent="0.3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4BED-6EB4-4624-BA1C-F8845699097D}">
  <dimension ref="A1:M62"/>
  <sheetViews>
    <sheetView topLeftCell="A22" workbookViewId="0">
      <selection activeCell="F3" sqref="F3:I9"/>
    </sheetView>
  </sheetViews>
  <sheetFormatPr defaultRowHeight="13" x14ac:dyDescent="0.3"/>
  <cols>
    <col min="1" max="1" width="26" style="35" customWidth="1"/>
    <col min="2" max="2" width="7.90625" style="35" customWidth="1"/>
    <col min="3" max="3" width="15.90625" style="35" bestFit="1" customWidth="1"/>
    <col min="4" max="4" width="13.81640625" style="35" customWidth="1"/>
    <col min="5" max="5" width="2.81640625" style="35" customWidth="1"/>
    <col min="6" max="6" width="26.08984375" style="35" customWidth="1"/>
    <col min="7" max="7" width="6.54296875" style="35" bestFit="1" customWidth="1"/>
    <col min="8" max="8" width="15.6328125" style="35" bestFit="1" customWidth="1"/>
    <col min="9" max="9" width="13.36328125" style="35" bestFit="1" customWidth="1"/>
    <col min="10" max="10" width="3.36328125" style="47" customWidth="1"/>
    <col min="11" max="11" width="5.26953125" style="35" customWidth="1"/>
    <col min="12" max="12" width="14.54296875" style="35" customWidth="1"/>
    <col min="13" max="13" width="13.08984375" style="35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3">
      <c r="A3" s="50">
        <v>44044</v>
      </c>
      <c r="B3" s="49">
        <v>10</v>
      </c>
      <c r="C3" s="51">
        <v>43671028.850000001</v>
      </c>
      <c r="D3" s="51">
        <v>8320000</v>
      </c>
      <c r="F3" s="50">
        <v>44411</v>
      </c>
      <c r="G3" s="49">
        <v>9</v>
      </c>
      <c r="H3" s="51">
        <v>51200000</v>
      </c>
      <c r="I3" s="51">
        <v>8350000</v>
      </c>
      <c r="J3" s="45"/>
      <c r="K3" s="49">
        <f t="shared" ref="K3:L10" si="0">G3-B3</f>
        <v>-1</v>
      </c>
      <c r="L3" s="38">
        <f t="shared" si="0"/>
        <v>7528971.1499999985</v>
      </c>
      <c r="M3" s="38">
        <f>D3-I3</f>
        <v>-30000</v>
      </c>
    </row>
    <row r="4" spans="1:13" x14ac:dyDescent="0.3">
      <c r="A4" s="50">
        <v>44049</v>
      </c>
      <c r="B4" s="49">
        <v>10</v>
      </c>
      <c r="C4" s="51">
        <v>51340003.310000002</v>
      </c>
      <c r="D4" s="51">
        <v>7580000</v>
      </c>
      <c r="F4" s="50">
        <v>44415</v>
      </c>
      <c r="G4" s="49">
        <v>11</v>
      </c>
      <c r="H4" s="51">
        <v>66097339</v>
      </c>
      <c r="I4" s="51">
        <v>19870000</v>
      </c>
      <c r="J4" s="45"/>
      <c r="K4" s="49">
        <f t="shared" si="0"/>
        <v>1</v>
      </c>
      <c r="L4" s="38">
        <f t="shared" si="0"/>
        <v>14757335.689999998</v>
      </c>
      <c r="M4" s="38">
        <f t="shared" ref="M4:M10" si="1">D4-I4</f>
        <v>-12290000</v>
      </c>
    </row>
    <row r="5" spans="1:13" x14ac:dyDescent="0.3">
      <c r="A5" s="50">
        <v>44051</v>
      </c>
      <c r="B5" s="49">
        <v>9</v>
      </c>
      <c r="C5" s="51">
        <v>50446212.920000002</v>
      </c>
      <c r="D5" s="51">
        <v>6400000</v>
      </c>
      <c r="F5" s="50">
        <v>44417</v>
      </c>
      <c r="G5" s="49">
        <v>10</v>
      </c>
      <c r="H5" s="51">
        <v>50177567.509999998</v>
      </c>
      <c r="I5" s="51">
        <v>7290000</v>
      </c>
      <c r="J5" s="45"/>
      <c r="K5" s="49">
        <f t="shared" si="0"/>
        <v>1</v>
      </c>
      <c r="L5" s="38">
        <f t="shared" si="0"/>
        <v>-268645.41000000387</v>
      </c>
      <c r="M5" s="38">
        <f t="shared" si="1"/>
        <v>-890000</v>
      </c>
    </row>
    <row r="6" spans="1:13" x14ac:dyDescent="0.3">
      <c r="A6" s="50">
        <v>44058</v>
      </c>
      <c r="B6" s="49">
        <v>9</v>
      </c>
      <c r="C6" s="51">
        <v>46791815.280000001</v>
      </c>
      <c r="D6" s="51">
        <v>6760000</v>
      </c>
      <c r="F6" s="50">
        <v>44422</v>
      </c>
      <c r="G6" s="49">
        <v>9</v>
      </c>
      <c r="H6" s="51">
        <v>48775782.240000002</v>
      </c>
      <c r="I6" s="51">
        <v>7360000</v>
      </c>
      <c r="J6" s="45"/>
      <c r="K6" s="49">
        <f t="shared" si="0"/>
        <v>0</v>
      </c>
      <c r="L6" s="38">
        <f t="shared" si="0"/>
        <v>1983966.9600000009</v>
      </c>
      <c r="M6" s="38">
        <f t="shared" si="1"/>
        <v>-600000</v>
      </c>
    </row>
    <row r="7" spans="1:13" x14ac:dyDescent="0.3">
      <c r="A7" s="50">
        <v>44059</v>
      </c>
      <c r="B7" s="49">
        <v>9</v>
      </c>
      <c r="C7" s="51">
        <v>40411379.079999998</v>
      </c>
      <c r="D7" s="51">
        <v>6760000</v>
      </c>
      <c r="F7" s="50">
        <v>44429</v>
      </c>
      <c r="G7" s="49">
        <v>10</v>
      </c>
      <c r="H7" s="51">
        <v>58811054.969999999</v>
      </c>
      <c r="I7" s="51">
        <v>7440000</v>
      </c>
      <c r="J7" s="45"/>
      <c r="K7" s="49">
        <f t="shared" si="0"/>
        <v>1</v>
      </c>
      <c r="L7" s="38">
        <f t="shared" si="0"/>
        <v>18399675.890000001</v>
      </c>
      <c r="M7" s="38">
        <f t="shared" si="1"/>
        <v>-680000</v>
      </c>
    </row>
    <row r="8" spans="1:13" x14ac:dyDescent="0.3">
      <c r="A8" s="50">
        <v>44065</v>
      </c>
      <c r="B8" s="49">
        <v>11</v>
      </c>
      <c r="C8" s="51">
        <v>52543986.600000001</v>
      </c>
      <c r="D8" s="51">
        <v>8920000</v>
      </c>
      <c r="F8" s="50">
        <v>44433</v>
      </c>
      <c r="G8" s="49">
        <v>9</v>
      </c>
      <c r="H8" s="51">
        <v>46169429.229999997</v>
      </c>
      <c r="I8" s="51">
        <v>6650000</v>
      </c>
      <c r="J8" s="45"/>
      <c r="K8" s="49">
        <f t="shared" si="0"/>
        <v>-2</v>
      </c>
      <c r="L8" s="38">
        <f t="shared" si="0"/>
        <v>-6374557.3700000048</v>
      </c>
      <c r="M8" s="38">
        <f t="shared" si="1"/>
        <v>2270000</v>
      </c>
    </row>
    <row r="9" spans="1:13" x14ac:dyDescent="0.3">
      <c r="A9" s="50">
        <v>44072</v>
      </c>
      <c r="B9" s="49">
        <v>10</v>
      </c>
      <c r="C9" s="51">
        <v>52168127.100000001</v>
      </c>
      <c r="D9" s="51">
        <v>9290000</v>
      </c>
      <c r="F9" s="50">
        <v>44436</v>
      </c>
      <c r="G9" s="49">
        <v>11</v>
      </c>
      <c r="H9" s="51">
        <v>58640383.229999997</v>
      </c>
      <c r="I9" s="51">
        <v>8980000</v>
      </c>
      <c r="J9" s="45"/>
      <c r="K9" s="49">
        <f t="shared" si="0"/>
        <v>1</v>
      </c>
      <c r="L9" s="38">
        <f t="shared" si="0"/>
        <v>6472256.1299999952</v>
      </c>
      <c r="M9" s="38">
        <f t="shared" si="1"/>
        <v>310000</v>
      </c>
    </row>
    <row r="10" spans="1:13" x14ac:dyDescent="0.3">
      <c r="A10" s="50">
        <v>44073</v>
      </c>
      <c r="B10" s="49">
        <v>10</v>
      </c>
      <c r="C10" s="51">
        <v>43502818.259999998</v>
      </c>
      <c r="D10" s="51">
        <v>7940000</v>
      </c>
      <c r="F10" s="50"/>
      <c r="G10" s="49"/>
      <c r="H10" s="51"/>
      <c r="I10" s="51"/>
      <c r="J10" s="45"/>
      <c r="K10" s="49">
        <f t="shared" si="0"/>
        <v>-10</v>
      </c>
      <c r="L10" s="38">
        <f t="shared" si="0"/>
        <v>-43502818.259999998</v>
      </c>
      <c r="M10" s="38">
        <f t="shared" si="1"/>
        <v>7940000</v>
      </c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78</v>
      </c>
      <c r="C12" s="39">
        <f>SUM(C3:C11)</f>
        <v>380875371.40000004</v>
      </c>
      <c r="D12" s="54">
        <f>SUM(D3:D11)</f>
        <v>61970000</v>
      </c>
      <c r="F12" s="52" t="s">
        <v>66</v>
      </c>
      <c r="G12" s="52">
        <f>SUM(G3:G11)</f>
        <v>69</v>
      </c>
      <c r="H12" s="39">
        <f>SUM(H3:H11)</f>
        <v>379871556.18000007</v>
      </c>
      <c r="I12" s="39">
        <f>SUM(I3:I11)</f>
        <v>65940000</v>
      </c>
      <c r="J12" s="46"/>
      <c r="K12" s="14">
        <f>G12-B12</f>
        <v>-9</v>
      </c>
      <c r="L12" s="39">
        <f>SUM(L3:L11)</f>
        <v>-1003815.2200000137</v>
      </c>
      <c r="M12" s="39">
        <f>SUM(M3:M11)</f>
        <v>-3970000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>
        <f>SUM(B3:B11)/COUNT(B3:B11)</f>
        <v>9.75</v>
      </c>
      <c r="C14" s="63">
        <f>SUM(C3:C11)/COUNT(C3:C11)</f>
        <v>47609421.425000004</v>
      </c>
      <c r="D14" s="63">
        <f>SUM(D3:D11)/COUNT(D3:D11)</f>
        <v>7746250</v>
      </c>
      <c r="F14" s="59"/>
      <c r="G14" s="60">
        <f>SUM(G3:G11)/COUNT(G3:G11)</f>
        <v>9.8571428571428577</v>
      </c>
      <c r="H14" s="61">
        <f>SUM(H3:H11)/COUNT(H3:H11)</f>
        <v>54267365.168571435</v>
      </c>
      <c r="I14" s="61">
        <f>SUM(I3:I11)/COUNT(I3:I11)</f>
        <v>9420000</v>
      </c>
      <c r="J14" s="48"/>
      <c r="K14" s="62">
        <f>SUM(K3:K11)/COUNT(K3:K11)</f>
        <v>-1.125</v>
      </c>
      <c r="L14" s="63">
        <f>SUM(L3:L11)/COUNT(L3:L11)</f>
        <v>-125476.90250000171</v>
      </c>
      <c r="M14" s="63">
        <f>SUM(M3:M11)/COUNT(M3:M11)</f>
        <v>-496250</v>
      </c>
    </row>
    <row r="15" spans="1:13" x14ac:dyDescent="0.3">
      <c r="A15" s="83"/>
      <c r="B15" s="84"/>
      <c r="C15" s="85"/>
      <c r="D15" s="85"/>
      <c r="F15" s="83"/>
      <c r="G15" s="84"/>
      <c r="H15" s="85"/>
      <c r="I15" s="85"/>
      <c r="J15" s="48"/>
      <c r="K15" s="84"/>
      <c r="L15" s="85"/>
      <c r="M15" s="85"/>
    </row>
    <row r="16" spans="1:13" x14ac:dyDescent="0.3">
      <c r="A16" s="83"/>
      <c r="B16" s="84"/>
      <c r="C16" s="85"/>
      <c r="D16" s="85"/>
      <c r="F16" s="83"/>
      <c r="G16" s="84"/>
      <c r="H16" s="85"/>
      <c r="I16" s="85"/>
      <c r="J16" s="48"/>
      <c r="K16" s="84"/>
      <c r="L16" s="85"/>
      <c r="M16" s="85"/>
    </row>
    <row r="17" spans="1:13" x14ac:dyDescent="0.3">
      <c r="A17" s="83"/>
      <c r="B17" s="84"/>
      <c r="C17" s="85"/>
      <c r="D17" s="85"/>
      <c r="F17" s="83"/>
      <c r="G17" s="84"/>
      <c r="H17" s="85"/>
      <c r="I17" s="85"/>
      <c r="J17" s="48"/>
      <c r="K17" s="84"/>
      <c r="L17" s="85"/>
      <c r="M17" s="85"/>
    </row>
    <row r="18" spans="1:13" x14ac:dyDescent="0.3">
      <c r="H18" s="78"/>
    </row>
    <row r="19" spans="1:13" x14ac:dyDescent="0.3">
      <c r="A19" s="34" t="s">
        <v>71</v>
      </c>
    </row>
    <row r="20" spans="1:13" ht="29.5" thickBot="1" x14ac:dyDescent="0.4">
      <c r="A20" s="76" t="s">
        <v>70</v>
      </c>
      <c r="B20" s="76" t="s">
        <v>69</v>
      </c>
      <c r="C20" s="76" t="s">
        <v>65</v>
      </c>
      <c r="D20" s="76"/>
      <c r="F20" s="76" t="s">
        <v>70</v>
      </c>
      <c r="G20" s="76" t="s">
        <v>69</v>
      </c>
      <c r="H20" s="76" t="s">
        <v>65</v>
      </c>
      <c r="I20" s="76" t="s">
        <v>74</v>
      </c>
      <c r="J20" s="77"/>
      <c r="K20" s="66" t="s">
        <v>78</v>
      </c>
      <c r="L20" s="67" t="s">
        <v>76</v>
      </c>
      <c r="M20" s="67" t="s">
        <v>77</v>
      </c>
    </row>
    <row r="21" spans="1:13" x14ac:dyDescent="0.3">
      <c r="A21" s="73">
        <v>44044</v>
      </c>
      <c r="B21" s="68">
        <v>1</v>
      </c>
      <c r="C21" s="74">
        <v>20212352.190000001</v>
      </c>
      <c r="D21" s="74"/>
      <c r="F21" s="73">
        <v>44415</v>
      </c>
      <c r="G21" s="68">
        <v>7</v>
      </c>
      <c r="H21" s="74">
        <f>34866347.14+15734111.79</f>
        <v>50600458.93</v>
      </c>
      <c r="I21" s="69"/>
      <c r="J21" s="45"/>
      <c r="K21" s="68">
        <f t="shared" ref="K21:L26" si="2">G21-B21</f>
        <v>6</v>
      </c>
      <c r="L21" s="69">
        <f>H21-C21</f>
        <v>30388106.739999998</v>
      </c>
      <c r="M21" s="69"/>
    </row>
    <row r="22" spans="1:13" x14ac:dyDescent="0.3">
      <c r="A22" s="73">
        <v>44051</v>
      </c>
      <c r="B22" s="68">
        <v>7</v>
      </c>
      <c r="C22" s="74">
        <v>68439699.379999995</v>
      </c>
      <c r="D22" s="74"/>
      <c r="F22" s="73">
        <v>44422</v>
      </c>
      <c r="G22" s="68">
        <v>7</v>
      </c>
      <c r="H22" s="74">
        <v>44925240.229999997</v>
      </c>
      <c r="I22" s="69"/>
      <c r="J22" s="45"/>
      <c r="K22" s="68">
        <f t="shared" si="2"/>
        <v>0</v>
      </c>
      <c r="L22" s="69">
        <f>H22-C22</f>
        <v>-23514459.149999999</v>
      </c>
      <c r="M22" s="69"/>
    </row>
    <row r="23" spans="1:13" x14ac:dyDescent="0.3">
      <c r="A23" s="73">
        <v>44058</v>
      </c>
      <c r="B23" s="68">
        <v>7</v>
      </c>
      <c r="C23" s="74">
        <v>74099616.900000006</v>
      </c>
      <c r="D23" s="74"/>
      <c r="F23" s="73">
        <v>44429</v>
      </c>
      <c r="G23" s="68">
        <v>7</v>
      </c>
      <c r="H23" s="74">
        <f>21475445.14+13556804.74</f>
        <v>35032249.880000003</v>
      </c>
      <c r="I23" s="69"/>
      <c r="J23" s="45"/>
      <c r="K23" s="68">
        <f t="shared" si="2"/>
        <v>0</v>
      </c>
      <c r="L23" s="69">
        <f>H23-C23</f>
        <v>-39067367.020000003</v>
      </c>
      <c r="M23" s="69"/>
    </row>
    <row r="24" spans="1:13" x14ac:dyDescent="0.3">
      <c r="A24" s="73">
        <v>44065</v>
      </c>
      <c r="B24" s="68">
        <v>7</v>
      </c>
      <c r="C24" s="74">
        <v>73963379.549999997</v>
      </c>
      <c r="D24" s="74"/>
      <c r="F24" s="73">
        <v>44436</v>
      </c>
      <c r="G24" s="68">
        <v>4</v>
      </c>
      <c r="H24" s="74">
        <f>13011350.62+15018070.7</f>
        <v>28029421.32</v>
      </c>
      <c r="I24" s="69"/>
      <c r="J24" s="45"/>
      <c r="K24" s="68">
        <f t="shared" si="2"/>
        <v>-3</v>
      </c>
      <c r="L24" s="69">
        <f t="shared" si="2"/>
        <v>-45933958.229999997</v>
      </c>
      <c r="M24" s="69"/>
    </row>
    <row r="25" spans="1:13" x14ac:dyDescent="0.3">
      <c r="A25" s="73">
        <v>44072</v>
      </c>
      <c r="B25" s="68">
        <v>7</v>
      </c>
      <c r="C25" s="74">
        <v>46379420.340000004</v>
      </c>
      <c r="D25" s="74"/>
      <c r="F25" s="73">
        <v>44439</v>
      </c>
      <c r="G25" s="68">
        <v>0</v>
      </c>
      <c r="H25" s="74">
        <v>0</v>
      </c>
      <c r="I25" s="69"/>
      <c r="J25" s="45"/>
      <c r="K25" s="68">
        <f t="shared" si="2"/>
        <v>-7</v>
      </c>
      <c r="L25" s="69">
        <f t="shared" si="2"/>
        <v>-46379420.340000004</v>
      </c>
      <c r="M25" s="69"/>
    </row>
    <row r="26" spans="1:13" x14ac:dyDescent="0.3">
      <c r="A26" s="73">
        <v>44074</v>
      </c>
      <c r="B26" s="68">
        <v>2</v>
      </c>
      <c r="C26" s="74">
        <v>13154321.390000001</v>
      </c>
      <c r="D26" s="74"/>
      <c r="F26" s="73"/>
      <c r="G26" s="68"/>
      <c r="H26" s="74"/>
      <c r="I26" s="69"/>
      <c r="J26" s="45"/>
      <c r="K26" s="68">
        <f t="shared" si="2"/>
        <v>-2</v>
      </c>
      <c r="L26" s="69">
        <f t="shared" si="2"/>
        <v>-13154321.390000001</v>
      </c>
      <c r="M26" s="69"/>
    </row>
    <row r="27" spans="1:13" ht="14.5" x14ac:dyDescent="0.35">
      <c r="A27" s="73"/>
      <c r="B27" s="68"/>
      <c r="C27" s="87"/>
      <c r="D27" s="74"/>
      <c r="F27" s="73"/>
      <c r="G27" s="68"/>
      <c r="H27" s="82"/>
      <c r="I27" s="69"/>
      <c r="J27" s="45"/>
      <c r="K27" s="68"/>
      <c r="L27" s="69"/>
      <c r="M27" s="69"/>
    </row>
    <row r="28" spans="1:13" ht="13.5" thickBot="1" x14ac:dyDescent="0.35">
      <c r="A28" s="75" t="s">
        <v>66</v>
      </c>
      <c r="B28" s="75">
        <f>SUM(B21:B26)</f>
        <v>31</v>
      </c>
      <c r="C28" s="88">
        <f>SUM(C21:C26)</f>
        <v>296248789.75</v>
      </c>
      <c r="D28" s="70"/>
      <c r="F28" s="75" t="s">
        <v>66</v>
      </c>
      <c r="G28" s="75">
        <f>SUM(G21:G27)</f>
        <v>25</v>
      </c>
      <c r="H28" s="70">
        <f>SUM(H21:H27)</f>
        <v>158587370.35999998</v>
      </c>
      <c r="I28" s="70"/>
      <c r="J28" s="46"/>
      <c r="K28" s="68">
        <f>SUM(K21:K27)</f>
        <v>-6</v>
      </c>
      <c r="L28" s="70">
        <f>SUM(L21:L27)</f>
        <v>-137661419.38999999</v>
      </c>
      <c r="M28" s="70"/>
    </row>
    <row r="29" spans="1:13" ht="13.5" thickTop="1" x14ac:dyDescent="0.3">
      <c r="A29" s="68"/>
      <c r="B29" s="68"/>
      <c r="C29" s="74"/>
      <c r="D29" s="74"/>
      <c r="F29" s="68"/>
      <c r="G29" s="68"/>
      <c r="H29" s="68"/>
      <c r="I29" s="68"/>
      <c r="K29" s="68"/>
      <c r="L29" s="68"/>
      <c r="M29" s="68"/>
    </row>
    <row r="30" spans="1:13" ht="13.5" thickBot="1" x14ac:dyDescent="0.35">
      <c r="A30" s="71" t="s">
        <v>67</v>
      </c>
      <c r="B30" s="71"/>
      <c r="C30" s="72">
        <f>C12+C28</f>
        <v>677124161.1500001</v>
      </c>
      <c r="D30" s="72"/>
      <c r="E30" s="41"/>
      <c r="F30" s="71" t="s">
        <v>67</v>
      </c>
      <c r="G30" s="71"/>
      <c r="H30" s="72">
        <f>H28+H12</f>
        <v>538458926.54000008</v>
      </c>
      <c r="I30" s="72"/>
      <c r="J30" s="46"/>
      <c r="K30" s="71"/>
      <c r="L30" s="72">
        <f>L28+L12</f>
        <v>-138665234.61000001</v>
      </c>
      <c r="M30" s="72"/>
    </row>
    <row r="31" spans="1:13" ht="13.5" thickTop="1" x14ac:dyDescent="0.3"/>
    <row r="33" spans="1:13" x14ac:dyDescent="0.3">
      <c r="H33" s="78"/>
      <c r="I33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3">F3</f>
        <v>44411</v>
      </c>
      <c r="G38" s="49">
        <f t="shared" si="3"/>
        <v>9</v>
      </c>
      <c r="H38" s="51">
        <f t="shared" si="3"/>
        <v>51200000</v>
      </c>
      <c r="I38" s="51">
        <f t="shared" si="3"/>
        <v>8350000</v>
      </c>
      <c r="J38" s="45"/>
      <c r="K38" s="49">
        <f t="shared" ref="K38:L44" si="4">G38-B38</f>
        <v>-1</v>
      </c>
      <c r="L38" s="38">
        <f t="shared" si="4"/>
        <v>2092517.8999999985</v>
      </c>
      <c r="M38" s="38">
        <f>D38-I38</f>
        <v>-650000</v>
      </c>
    </row>
    <row r="39" spans="1:13" x14ac:dyDescent="0.3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3"/>
        <v>44415</v>
      </c>
      <c r="G39" s="49">
        <f t="shared" si="3"/>
        <v>11</v>
      </c>
      <c r="H39" s="51">
        <f t="shared" si="3"/>
        <v>66097339</v>
      </c>
      <c r="I39" s="51">
        <f t="shared" si="3"/>
        <v>19870000</v>
      </c>
      <c r="J39" s="45"/>
      <c r="K39" s="49">
        <f t="shared" si="4"/>
        <v>1</v>
      </c>
      <c r="L39" s="38">
        <f t="shared" si="4"/>
        <v>23581632.780000001</v>
      </c>
      <c r="M39" s="38">
        <f t="shared" ref="M39:M44" si="5">D39-I39</f>
        <v>-12060000</v>
      </c>
    </row>
    <row r="40" spans="1:13" x14ac:dyDescent="0.3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3"/>
        <v>44417</v>
      </c>
      <c r="G40" s="49">
        <f t="shared" si="3"/>
        <v>10</v>
      </c>
      <c r="H40" s="51">
        <f t="shared" si="3"/>
        <v>50177567.509999998</v>
      </c>
      <c r="I40" s="51">
        <f t="shared" si="3"/>
        <v>7290000</v>
      </c>
      <c r="J40" s="45"/>
      <c r="K40" s="49">
        <f t="shared" si="4"/>
        <v>0</v>
      </c>
      <c r="L40" s="38">
        <f t="shared" si="4"/>
        <v>4929562.8699999973</v>
      </c>
      <c r="M40" s="38">
        <f t="shared" si="5"/>
        <v>40000</v>
      </c>
    </row>
    <row r="41" spans="1:13" x14ac:dyDescent="0.3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3"/>
        <v>44422</v>
      </c>
      <c r="G41" s="49">
        <f t="shared" si="3"/>
        <v>9</v>
      </c>
      <c r="H41" s="51">
        <f t="shared" si="3"/>
        <v>48775782.240000002</v>
      </c>
      <c r="I41" s="51">
        <f t="shared" si="3"/>
        <v>7360000</v>
      </c>
      <c r="J41" s="45"/>
      <c r="K41" s="49">
        <f t="shared" si="4"/>
        <v>-1</v>
      </c>
      <c r="L41" s="38">
        <f t="shared" si="4"/>
        <v>300403.67000000179</v>
      </c>
      <c r="M41" s="38">
        <f t="shared" si="5"/>
        <v>320000</v>
      </c>
    </row>
    <row r="42" spans="1:13" x14ac:dyDescent="0.3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3"/>
        <v>44429</v>
      </c>
      <c r="G42" s="49">
        <f t="shared" si="3"/>
        <v>10</v>
      </c>
      <c r="H42" s="51">
        <f t="shared" si="3"/>
        <v>58811054.969999999</v>
      </c>
      <c r="I42" s="51">
        <f t="shared" si="3"/>
        <v>7440000</v>
      </c>
      <c r="J42" s="45"/>
      <c r="K42" s="49">
        <f t="shared" si="4"/>
        <v>0</v>
      </c>
      <c r="L42" s="38">
        <f t="shared" si="4"/>
        <v>8563248.5799999982</v>
      </c>
      <c r="M42" s="38">
        <f t="shared" si="5"/>
        <v>-200000</v>
      </c>
    </row>
    <row r="43" spans="1:13" x14ac:dyDescent="0.3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3"/>
        <v>44433</v>
      </c>
      <c r="G43" s="49">
        <f t="shared" si="3"/>
        <v>9</v>
      </c>
      <c r="H43" s="51">
        <f t="shared" si="3"/>
        <v>46169429.229999997</v>
      </c>
      <c r="I43" s="51">
        <f t="shared" si="3"/>
        <v>6650000</v>
      </c>
      <c r="J43" s="45"/>
      <c r="K43" s="49">
        <f t="shared" si="4"/>
        <v>-3</v>
      </c>
      <c r="L43" s="38">
        <f t="shared" si="4"/>
        <v>-16563596.810000002</v>
      </c>
      <c r="M43" s="38">
        <f t="shared" si="5"/>
        <v>11300000</v>
      </c>
    </row>
    <row r="44" spans="1:13" x14ac:dyDescent="0.3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3"/>
        <v>44436</v>
      </c>
      <c r="G44" s="49">
        <f t="shared" si="3"/>
        <v>11</v>
      </c>
      <c r="H44" s="51">
        <f t="shared" si="3"/>
        <v>58640383.229999997</v>
      </c>
      <c r="I44" s="51">
        <f t="shared" si="3"/>
        <v>8980000</v>
      </c>
      <c r="J44" s="45"/>
      <c r="K44" s="49">
        <f t="shared" si="4"/>
        <v>1</v>
      </c>
      <c r="L44" s="38">
        <f t="shared" si="4"/>
        <v>15861066.459999993</v>
      </c>
      <c r="M44" s="38">
        <f t="shared" si="5"/>
        <v>-850000</v>
      </c>
    </row>
    <row r="45" spans="1:13" x14ac:dyDescent="0.3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" thickBot="1" x14ac:dyDescent="0.4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69</v>
      </c>
      <c r="H46" s="39">
        <f>SUM(H38:H45)</f>
        <v>379871556.18000007</v>
      </c>
      <c r="I46" s="39">
        <f>SUM(I38:I45)</f>
        <v>65940000</v>
      </c>
      <c r="J46" s="46"/>
      <c r="K46" s="14">
        <f>G46-B46</f>
        <v>-3</v>
      </c>
      <c r="L46" s="39">
        <f>SUM(L38:L45)</f>
        <v>38764835.449999988</v>
      </c>
      <c r="M46" s="39">
        <f>SUM(M38:M45)</f>
        <v>-2100000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9.8571428571428577</v>
      </c>
      <c r="H48" s="61">
        <f>SUM(H38:H45)/COUNT(H38:H45)</f>
        <v>54267365.168571435</v>
      </c>
      <c r="I48" s="61">
        <f>SUM(I38:I45)/COUNT(I38:I45)</f>
        <v>9420000</v>
      </c>
      <c r="J48" s="48"/>
      <c r="K48" s="62">
        <f>SUM(K38:K45)/COUNT(K38:K45)</f>
        <v>-0.42857142857142855</v>
      </c>
      <c r="L48" s="63">
        <f>SUM(L38:L45)/COUNT(L38:L45)</f>
        <v>5537833.6357142841</v>
      </c>
      <c r="M48" s="63">
        <f>SUM(M38:M45)/COUNT(M38:M45)</f>
        <v>-300000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43617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H21</f>
        <v>50600458.93</v>
      </c>
      <c r="I52" s="69"/>
      <c r="J52" s="45"/>
      <c r="K52" s="68">
        <f>G52-B52</f>
        <v>4</v>
      </c>
      <c r="L52" s="69">
        <f>H52-C52</f>
        <v>36269286.590000004</v>
      </c>
      <c r="M52" s="69"/>
    </row>
    <row r="53" spans="1:13" x14ac:dyDescent="0.3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H22</f>
        <v>44925240.229999997</v>
      </c>
      <c r="I53" s="69"/>
      <c r="J53" s="45"/>
      <c r="K53" s="68">
        <f t="shared" ref="K53:L57" si="6">G53-B53</f>
        <v>0</v>
      </c>
      <c r="L53" s="69">
        <f t="shared" si="6"/>
        <v>-22878799.920000009</v>
      </c>
      <c r="M53" s="69"/>
    </row>
    <row r="54" spans="1:13" x14ac:dyDescent="0.3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H23</f>
        <v>35032249.880000003</v>
      </c>
      <c r="I54" s="69"/>
      <c r="J54" s="45"/>
      <c r="K54" s="68">
        <f t="shared" si="6"/>
        <v>0</v>
      </c>
      <c r="L54" s="69">
        <f t="shared" si="6"/>
        <v>-28691581.439999998</v>
      </c>
      <c r="M54" s="69"/>
    </row>
    <row r="55" spans="1:13" x14ac:dyDescent="0.3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H24</f>
        <v>28029421.32</v>
      </c>
      <c r="I55" s="69"/>
      <c r="J55" s="45"/>
      <c r="K55" s="68">
        <f t="shared" si="6"/>
        <v>0</v>
      </c>
      <c r="L55" s="69">
        <f t="shared" si="6"/>
        <v>-35557638.839999996</v>
      </c>
      <c r="M55" s="69"/>
    </row>
    <row r="56" spans="1:13" x14ac:dyDescent="0.3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H25</f>
        <v>0</v>
      </c>
      <c r="I56" s="69"/>
      <c r="J56" s="45"/>
      <c r="K56" s="68">
        <f t="shared" si="6"/>
        <v>-3</v>
      </c>
      <c r="L56" s="69">
        <f t="shared" si="6"/>
        <v>-60914451.420000002</v>
      </c>
      <c r="M56" s="69"/>
    </row>
    <row r="57" spans="1:13" x14ac:dyDescent="0.3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6"/>
        <v>-9236562.7899999991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158587370.35999998</v>
      </c>
      <c r="I59" s="70"/>
      <c r="J59" s="46"/>
      <c r="K59" s="68">
        <f>SUM(K52:K58)</f>
        <v>1</v>
      </c>
      <c r="L59" s="70">
        <f>SUM(L52:L58)</f>
        <v>-121009747.81999999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538458926.54000008</v>
      </c>
      <c r="I61" s="72"/>
      <c r="J61" s="46"/>
      <c r="K61" s="71"/>
      <c r="L61" s="72">
        <f>L59+L46</f>
        <v>-82244912.370000005</v>
      </c>
      <c r="M61" s="72"/>
    </row>
    <row r="62" spans="1:13" ht="13.5" thickTop="1" x14ac:dyDescent="0.3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E144-7DA8-4D52-955C-C451ABC97A06}">
  <dimension ref="A1:M62"/>
  <sheetViews>
    <sheetView topLeftCell="A11" zoomScale="106" zoomScaleNormal="106" workbookViewId="0">
      <selection activeCell="F21" sqref="F21:H25"/>
    </sheetView>
  </sheetViews>
  <sheetFormatPr defaultRowHeight="13" x14ac:dyDescent="0.3"/>
  <cols>
    <col min="1" max="1" width="27.08984375" style="35" customWidth="1"/>
    <col min="2" max="2" width="5.81640625" style="35" customWidth="1"/>
    <col min="3" max="3" width="15.90625" style="35" bestFit="1" customWidth="1"/>
    <col min="4" max="4" width="13.81640625" style="35" customWidth="1"/>
    <col min="5" max="5" width="2.08984375" style="35" customWidth="1"/>
    <col min="6" max="6" width="25.08984375" style="35" customWidth="1"/>
    <col min="7" max="7" width="5.453125" style="35" customWidth="1"/>
    <col min="8" max="8" width="14.453125" style="35" customWidth="1"/>
    <col min="9" max="9" width="13.36328125" style="35" bestFit="1" customWidth="1"/>
    <col min="10" max="10" width="1.7265625" style="47" customWidth="1"/>
    <col min="11" max="11" width="5.26953125" style="35" customWidth="1"/>
    <col min="12" max="12" width="14.54296875" style="35" customWidth="1"/>
    <col min="13" max="13" width="13.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40.5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89">
        <v>44079</v>
      </c>
      <c r="B3" s="90">
        <v>9</v>
      </c>
      <c r="C3" s="91">
        <v>44798125.329999998</v>
      </c>
      <c r="D3" s="51">
        <v>6390000</v>
      </c>
      <c r="F3" s="50">
        <v>44443</v>
      </c>
      <c r="G3" s="49">
        <v>11</v>
      </c>
      <c r="H3" s="51">
        <v>54441445</v>
      </c>
      <c r="I3" s="51">
        <v>11440000</v>
      </c>
      <c r="J3" s="45"/>
      <c r="K3" s="49">
        <f t="shared" ref="K3:L10" si="0">G3-B3</f>
        <v>2</v>
      </c>
      <c r="L3" s="38">
        <f t="shared" si="0"/>
        <v>9643319.6700000018</v>
      </c>
      <c r="M3" s="38">
        <f>D3-I3</f>
        <v>-5050000</v>
      </c>
    </row>
    <row r="4" spans="1:13" ht="14.5" x14ac:dyDescent="0.35">
      <c r="A4" s="92">
        <v>44080</v>
      </c>
      <c r="B4" s="93">
        <v>10</v>
      </c>
      <c r="C4" s="94">
        <v>48028507.329999998</v>
      </c>
      <c r="D4" s="51">
        <v>7980000</v>
      </c>
      <c r="F4" s="50">
        <v>44450</v>
      </c>
      <c r="G4" s="49">
        <v>10</v>
      </c>
      <c r="H4" s="51">
        <v>58270518.869999997</v>
      </c>
      <c r="I4" s="51">
        <v>8790000</v>
      </c>
      <c r="J4" s="45"/>
      <c r="K4" s="49">
        <f t="shared" si="0"/>
        <v>0</v>
      </c>
      <c r="L4" s="38">
        <f t="shared" si="0"/>
        <v>10242011.539999999</v>
      </c>
      <c r="M4" s="38">
        <f t="shared" ref="M4:M10" si="1">D4-I4</f>
        <v>-810000</v>
      </c>
    </row>
    <row r="5" spans="1:13" ht="14.5" x14ac:dyDescent="0.35">
      <c r="A5" s="92">
        <v>44086</v>
      </c>
      <c r="B5" s="93">
        <v>11</v>
      </c>
      <c r="C5" s="94">
        <v>53109648.289999999</v>
      </c>
      <c r="D5" s="51">
        <v>8830000</v>
      </c>
      <c r="F5" s="50">
        <v>44454</v>
      </c>
      <c r="G5" s="49">
        <v>10</v>
      </c>
      <c r="H5" s="51">
        <v>50125029.630000003</v>
      </c>
      <c r="I5" s="51">
        <v>7510000</v>
      </c>
      <c r="J5" s="45"/>
      <c r="K5" s="49">
        <f t="shared" si="0"/>
        <v>-1</v>
      </c>
      <c r="L5" s="38">
        <f t="shared" si="0"/>
        <v>-2984618.6599999964</v>
      </c>
      <c r="M5" s="38">
        <f t="shared" si="1"/>
        <v>1320000</v>
      </c>
    </row>
    <row r="6" spans="1:13" ht="14.5" x14ac:dyDescent="0.35">
      <c r="A6" s="92">
        <v>44087</v>
      </c>
      <c r="B6" s="93">
        <v>9</v>
      </c>
      <c r="C6" s="94">
        <v>43832192.18</v>
      </c>
      <c r="D6" s="51">
        <v>6740000</v>
      </c>
      <c r="F6" s="50">
        <v>44457</v>
      </c>
      <c r="G6" s="49">
        <v>9</v>
      </c>
      <c r="H6" s="51">
        <v>50237780</v>
      </c>
      <c r="I6" s="51">
        <v>6850000</v>
      </c>
      <c r="J6" s="45"/>
      <c r="K6" s="49">
        <f t="shared" si="0"/>
        <v>0</v>
      </c>
      <c r="L6" s="38">
        <f t="shared" si="0"/>
        <v>6405587.8200000003</v>
      </c>
      <c r="M6" s="38">
        <f t="shared" si="1"/>
        <v>-110000</v>
      </c>
    </row>
    <row r="7" spans="1:13" ht="14.5" x14ac:dyDescent="0.35">
      <c r="A7" s="92">
        <v>44093</v>
      </c>
      <c r="B7" s="93">
        <v>11</v>
      </c>
      <c r="C7" s="94">
        <v>54026763.240000002</v>
      </c>
      <c r="D7" s="51">
        <v>8230000</v>
      </c>
      <c r="F7" s="50">
        <v>44461</v>
      </c>
      <c r="G7" s="49">
        <v>10</v>
      </c>
      <c r="H7" s="51">
        <v>53911686</v>
      </c>
      <c r="I7" s="51">
        <f>720000+620000+500000+870000+650000+600000+930000+870000+900000+1000000</f>
        <v>7660000</v>
      </c>
      <c r="J7" s="45"/>
      <c r="K7" s="49">
        <f t="shared" si="0"/>
        <v>-1</v>
      </c>
      <c r="L7" s="38">
        <f t="shared" si="0"/>
        <v>-115077.24000000209</v>
      </c>
      <c r="M7" s="38">
        <f t="shared" si="1"/>
        <v>570000</v>
      </c>
    </row>
    <row r="8" spans="1:13" ht="14.5" x14ac:dyDescent="0.35">
      <c r="A8" s="92">
        <v>44100</v>
      </c>
      <c r="B8" s="93">
        <v>10</v>
      </c>
      <c r="C8" s="94">
        <v>55509696</v>
      </c>
      <c r="D8" s="51">
        <v>10010000</v>
      </c>
      <c r="F8" s="50">
        <v>44464</v>
      </c>
      <c r="G8" s="49">
        <v>10</v>
      </c>
      <c r="H8" s="51">
        <v>49885533.799999997</v>
      </c>
      <c r="I8" s="51">
        <v>7950000</v>
      </c>
      <c r="J8" s="45"/>
      <c r="K8" s="49">
        <f t="shared" si="0"/>
        <v>0</v>
      </c>
      <c r="L8" s="38">
        <f t="shared" si="0"/>
        <v>-5624162.200000003</v>
      </c>
      <c r="M8" s="38">
        <f t="shared" si="1"/>
        <v>2060000</v>
      </c>
    </row>
    <row r="9" spans="1:13" ht="14.5" x14ac:dyDescent="0.35">
      <c r="A9" s="92">
        <v>44101</v>
      </c>
      <c r="B9" s="93">
        <v>8</v>
      </c>
      <c r="C9" s="94">
        <v>35896728.270000003</v>
      </c>
      <c r="D9" s="51">
        <v>7470000</v>
      </c>
      <c r="F9" s="50">
        <v>44466</v>
      </c>
      <c r="G9" s="49">
        <v>11</v>
      </c>
      <c r="H9" s="51">
        <v>50539113.43</v>
      </c>
      <c r="I9" s="51">
        <v>8410000</v>
      </c>
      <c r="J9" s="45"/>
      <c r="K9" s="49">
        <f t="shared" si="0"/>
        <v>3</v>
      </c>
      <c r="L9" s="38">
        <f t="shared" si="0"/>
        <v>14642385.159999996</v>
      </c>
      <c r="M9" s="38">
        <f t="shared" si="1"/>
        <v>-940000</v>
      </c>
    </row>
    <row r="10" spans="1:13" x14ac:dyDescent="0.3">
      <c r="A10" s="50"/>
      <c r="B10" s="49"/>
      <c r="C10" s="51"/>
      <c r="D10" s="51"/>
      <c r="F10" s="50"/>
      <c r="G10" s="49"/>
      <c r="H10" s="51"/>
      <c r="I10" s="51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68</v>
      </c>
      <c r="C12" s="39">
        <f>SUM(C3:C11)</f>
        <v>335201660.63999999</v>
      </c>
      <c r="D12" s="54">
        <f>SUM(D3:D11)</f>
        <v>55650000</v>
      </c>
      <c r="F12" s="52" t="s">
        <v>66</v>
      </c>
      <c r="G12" s="52">
        <f>SUM(G3:G11)</f>
        <v>71</v>
      </c>
      <c r="H12" s="39">
        <f>SUM(H3:H11)</f>
        <v>367411106.73000002</v>
      </c>
      <c r="I12" s="39">
        <f>SUM(I3:I11)</f>
        <v>58610000</v>
      </c>
      <c r="J12" s="46"/>
      <c r="K12" s="14">
        <f>G12-B12</f>
        <v>3</v>
      </c>
      <c r="L12" s="39">
        <f>SUM(L3:L11)</f>
        <v>32209446.089999996</v>
      </c>
      <c r="M12" s="39">
        <f>SUM(M3:M11)</f>
        <v>-2960000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>
        <f>SUM(B3:B11)/COUNT(B3:B11)</f>
        <v>9.7142857142857135</v>
      </c>
      <c r="C14" s="63">
        <f>SUM(C3:C11)/COUNT(C3:C11)</f>
        <v>47885951.519999996</v>
      </c>
      <c r="D14" s="63">
        <f>SUM(D3:D11)/COUNT(D3:D11)</f>
        <v>7950000</v>
      </c>
      <c r="F14" s="59"/>
      <c r="G14" s="60">
        <f>SUM(G3:G11)/COUNT(G3:G11)</f>
        <v>10.142857142857142</v>
      </c>
      <c r="H14" s="61">
        <f>SUM(H3:H11)/COUNT(H3:H11)</f>
        <v>52487300.961428575</v>
      </c>
      <c r="I14" s="61">
        <f>SUM(I3:I11)/COUNT(I3:I11)</f>
        <v>8372857.1428571427</v>
      </c>
      <c r="J14" s="48"/>
      <c r="K14" s="62">
        <f>SUM(K3:K11)/COUNT(K3:K11)</f>
        <v>0.375</v>
      </c>
      <c r="L14" s="63">
        <f>SUM(L3:L11)/COUNT(L3:L11)</f>
        <v>4026180.7612499995</v>
      </c>
      <c r="M14" s="63">
        <f>SUM(M3:M11)/COUNT(M3:M11)</f>
        <v>-370000</v>
      </c>
    </row>
    <row r="15" spans="1:13" x14ac:dyDescent="0.3">
      <c r="A15" s="83"/>
      <c r="B15" s="84"/>
      <c r="C15" s="85"/>
      <c r="D15" s="85"/>
      <c r="F15" s="83"/>
      <c r="G15" s="84"/>
      <c r="H15" s="85"/>
      <c r="I15" s="85"/>
      <c r="J15" s="48"/>
      <c r="K15" s="84"/>
      <c r="L15" s="85"/>
      <c r="M15" s="85"/>
    </row>
    <row r="16" spans="1:13" x14ac:dyDescent="0.3">
      <c r="A16" s="83"/>
      <c r="B16" s="84"/>
      <c r="C16" s="85"/>
      <c r="D16" s="85"/>
      <c r="F16" s="83"/>
      <c r="G16" s="84"/>
      <c r="H16" s="85"/>
      <c r="I16" s="85"/>
      <c r="J16" s="48"/>
      <c r="K16" s="84"/>
      <c r="L16" s="85"/>
      <c r="M16" s="85"/>
    </row>
    <row r="17" spans="1:13" x14ac:dyDescent="0.3">
      <c r="A17" s="83"/>
      <c r="B17" s="84"/>
      <c r="C17" s="85"/>
      <c r="D17" s="85"/>
      <c r="F17" s="83"/>
      <c r="G17" s="84"/>
      <c r="H17" s="85"/>
      <c r="I17" s="85"/>
      <c r="J17" s="48"/>
      <c r="K17" s="84"/>
      <c r="L17" s="85"/>
      <c r="M17" s="85"/>
    </row>
    <row r="18" spans="1:13" x14ac:dyDescent="0.3">
      <c r="H18" s="78"/>
    </row>
    <row r="19" spans="1:13" x14ac:dyDescent="0.3">
      <c r="A19" s="34" t="s">
        <v>71</v>
      </c>
    </row>
    <row r="20" spans="1:13" ht="29.5" thickBot="1" x14ac:dyDescent="0.4">
      <c r="A20" s="76" t="s">
        <v>70</v>
      </c>
      <c r="B20" s="76" t="s">
        <v>69</v>
      </c>
      <c r="C20" s="76" t="s">
        <v>65</v>
      </c>
      <c r="D20" s="76"/>
      <c r="F20" s="76" t="s">
        <v>70</v>
      </c>
      <c r="G20" s="76" t="s">
        <v>69</v>
      </c>
      <c r="H20" s="76" t="s">
        <v>65</v>
      </c>
      <c r="I20" s="76" t="s">
        <v>74</v>
      </c>
      <c r="J20" s="77"/>
      <c r="K20" s="66" t="s">
        <v>78</v>
      </c>
      <c r="L20" s="67" t="s">
        <v>76</v>
      </c>
      <c r="M20" s="67" t="s">
        <v>77</v>
      </c>
    </row>
    <row r="21" spans="1:13" ht="14.5" x14ac:dyDescent="0.35">
      <c r="A21" s="23">
        <v>44079</v>
      </c>
      <c r="B21" s="95">
        <v>5</v>
      </c>
      <c r="C21" s="22">
        <v>41957850.049999997</v>
      </c>
      <c r="D21" s="74"/>
      <c r="F21" s="73">
        <v>44443</v>
      </c>
      <c r="G21" s="68">
        <v>4</v>
      </c>
      <c r="H21" s="74">
        <f>14059041.37+16452731.41</f>
        <v>30511772.780000001</v>
      </c>
      <c r="I21" s="69"/>
      <c r="J21" s="45"/>
      <c r="K21" s="68">
        <f t="shared" ref="K21:L25" si="2">G21-B21</f>
        <v>-1</v>
      </c>
      <c r="L21" s="69">
        <f>H21-C21</f>
        <v>-11446077.269999996</v>
      </c>
      <c r="M21" s="69"/>
    </row>
    <row r="22" spans="1:13" ht="14.5" x14ac:dyDescent="0.35">
      <c r="A22" s="23">
        <v>44086</v>
      </c>
      <c r="B22" s="96">
        <v>7</v>
      </c>
      <c r="C22" s="22">
        <v>50580042.329999998</v>
      </c>
      <c r="D22" s="74"/>
      <c r="F22" s="73">
        <v>44450</v>
      </c>
      <c r="G22" s="68">
        <v>7</v>
      </c>
      <c r="H22" s="74">
        <v>25360997.579999998</v>
      </c>
      <c r="I22" s="69"/>
      <c r="J22" s="45"/>
      <c r="K22" s="68">
        <f t="shared" si="2"/>
        <v>0</v>
      </c>
      <c r="L22" s="69">
        <f>H22-C22</f>
        <v>-25219044.75</v>
      </c>
      <c r="M22" s="69"/>
    </row>
    <row r="23" spans="1:13" ht="14.5" x14ac:dyDescent="0.35">
      <c r="A23" s="23">
        <v>44093</v>
      </c>
      <c r="B23" s="96">
        <v>7</v>
      </c>
      <c r="C23" s="22">
        <v>56008176.560000002</v>
      </c>
      <c r="D23" s="74"/>
      <c r="F23" s="73">
        <v>44457</v>
      </c>
      <c r="G23" s="68">
        <v>7</v>
      </c>
      <c r="H23" s="74">
        <f>25933549.4+14871949.94</f>
        <v>40805499.339999996</v>
      </c>
      <c r="I23" s="69"/>
      <c r="J23" s="45"/>
      <c r="K23" s="68">
        <f t="shared" si="2"/>
        <v>0</v>
      </c>
      <c r="L23" s="69">
        <f>H23-C23</f>
        <v>-15202677.220000006</v>
      </c>
      <c r="M23" s="69"/>
    </row>
    <row r="24" spans="1:13" ht="14.5" x14ac:dyDescent="0.35">
      <c r="A24" s="23">
        <v>44100</v>
      </c>
      <c r="B24" s="96">
        <v>7</v>
      </c>
      <c r="C24" s="22">
        <v>59038626</v>
      </c>
      <c r="D24" s="74"/>
      <c r="F24" s="73">
        <v>44464</v>
      </c>
      <c r="G24" s="68">
        <v>7</v>
      </c>
      <c r="H24" s="74">
        <v>50155231.539999999</v>
      </c>
      <c r="I24" s="69"/>
      <c r="J24" s="45"/>
      <c r="K24" s="68">
        <f t="shared" si="2"/>
        <v>0</v>
      </c>
      <c r="L24" s="69">
        <f t="shared" si="2"/>
        <v>-8883394.4600000009</v>
      </c>
      <c r="M24" s="69"/>
    </row>
    <row r="25" spans="1:13" ht="14.5" x14ac:dyDescent="0.35">
      <c r="A25" s="23">
        <v>44104</v>
      </c>
      <c r="B25" s="96">
        <v>4</v>
      </c>
      <c r="C25" s="22">
        <v>28831915.289999999</v>
      </c>
      <c r="D25" s="74"/>
      <c r="F25" s="73">
        <v>44469</v>
      </c>
      <c r="G25" s="68">
        <v>5</v>
      </c>
      <c r="H25" s="74">
        <v>26049268.010000002</v>
      </c>
      <c r="I25" s="69"/>
      <c r="J25" s="45"/>
      <c r="K25" s="68">
        <f t="shared" si="2"/>
        <v>1</v>
      </c>
      <c r="L25" s="69">
        <f t="shared" si="2"/>
        <v>-2782647.2799999975</v>
      </c>
      <c r="M25" s="69"/>
    </row>
    <row r="26" spans="1:13" x14ac:dyDescent="0.3">
      <c r="A26" s="73"/>
      <c r="B26" s="68"/>
      <c r="C26" s="74"/>
      <c r="D26" s="74"/>
      <c r="F26" s="73"/>
      <c r="G26" s="68"/>
      <c r="H26" s="74"/>
      <c r="I26" s="69"/>
      <c r="J26" s="45"/>
      <c r="K26" s="68"/>
      <c r="L26" s="69"/>
      <c r="M26" s="69"/>
    </row>
    <row r="27" spans="1:13" ht="14.5" x14ac:dyDescent="0.35">
      <c r="A27" s="73"/>
      <c r="B27" s="68"/>
      <c r="C27" s="87"/>
      <c r="D27" s="74"/>
      <c r="F27" s="73"/>
      <c r="G27" s="68"/>
      <c r="H27" s="82"/>
      <c r="I27" s="69"/>
      <c r="J27" s="45"/>
      <c r="K27" s="68"/>
      <c r="L27" s="69"/>
      <c r="M27" s="69"/>
    </row>
    <row r="28" spans="1:13" ht="13.5" thickBot="1" x14ac:dyDescent="0.35">
      <c r="A28" s="75" t="s">
        <v>66</v>
      </c>
      <c r="B28" s="75">
        <f>SUM(B21:B26)</f>
        <v>30</v>
      </c>
      <c r="C28" s="88">
        <f>SUM(C21:C26)</f>
        <v>236416610.22999999</v>
      </c>
      <c r="D28" s="70"/>
      <c r="F28" s="75" t="s">
        <v>66</v>
      </c>
      <c r="G28" s="75">
        <f>SUM(G21:G27)</f>
        <v>30</v>
      </c>
      <c r="H28" s="70">
        <f>SUM(H21:H27)</f>
        <v>172882769.24999997</v>
      </c>
      <c r="I28" s="70"/>
      <c r="J28" s="46"/>
      <c r="K28" s="68">
        <f>SUM(K21:K27)</f>
        <v>0</v>
      </c>
      <c r="L28" s="70">
        <f>SUM(L21:L27)</f>
        <v>-63533840.980000004</v>
      </c>
      <c r="M28" s="70"/>
    </row>
    <row r="29" spans="1:13" ht="13.5" thickTop="1" x14ac:dyDescent="0.3">
      <c r="A29" s="68"/>
      <c r="B29" s="68"/>
      <c r="C29" s="74"/>
      <c r="D29" s="74"/>
      <c r="F29" s="68"/>
      <c r="G29" s="68"/>
      <c r="H29" s="68"/>
      <c r="I29" s="68"/>
      <c r="K29" s="68"/>
      <c r="L29" s="68"/>
      <c r="M29" s="68"/>
    </row>
    <row r="30" spans="1:13" ht="13.5" thickBot="1" x14ac:dyDescent="0.35">
      <c r="A30" s="71" t="s">
        <v>67</v>
      </c>
      <c r="B30" s="71"/>
      <c r="C30" s="72">
        <f>C12+C28</f>
        <v>571618270.87</v>
      </c>
      <c r="D30" s="72"/>
      <c r="E30" s="41"/>
      <c r="F30" s="71" t="s">
        <v>67</v>
      </c>
      <c r="G30" s="71"/>
      <c r="H30" s="72">
        <f>H28+H12</f>
        <v>540293875.98000002</v>
      </c>
      <c r="I30" s="72"/>
      <c r="J30" s="46"/>
      <c r="K30" s="71"/>
      <c r="L30" s="72">
        <f>L28+L12</f>
        <v>-31324394.890000008</v>
      </c>
      <c r="M30" s="72"/>
    </row>
    <row r="31" spans="1:13" ht="13.5" thickTop="1" x14ac:dyDescent="0.3"/>
    <row r="32" spans="1:13" x14ac:dyDescent="0.3">
      <c r="C32" s="78"/>
    </row>
    <row r="33" spans="1:13" x14ac:dyDescent="0.3">
      <c r="H33" s="78"/>
      <c r="I33" s="78"/>
    </row>
    <row r="36" spans="1:13" x14ac:dyDescent="0.3">
      <c r="A36" s="34" t="s">
        <v>73</v>
      </c>
    </row>
    <row r="37" spans="1:13" ht="40.5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3">F3</f>
        <v>44443</v>
      </c>
      <c r="G38" s="49">
        <f t="shared" si="3"/>
        <v>11</v>
      </c>
      <c r="H38" s="51">
        <f t="shared" si="3"/>
        <v>54441445</v>
      </c>
      <c r="I38" s="51">
        <f t="shared" si="3"/>
        <v>11440000</v>
      </c>
      <c r="J38" s="45"/>
      <c r="K38" s="49">
        <f t="shared" ref="K38:L44" si="4">G38-B38</f>
        <v>1</v>
      </c>
      <c r="L38" s="38">
        <f t="shared" si="4"/>
        <v>5333962.8999999985</v>
      </c>
      <c r="M38" s="38">
        <f>D38-I38</f>
        <v>-3740000</v>
      </c>
    </row>
    <row r="39" spans="1:13" x14ac:dyDescent="0.3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3"/>
        <v>44450</v>
      </c>
      <c r="G39" s="49">
        <f t="shared" si="3"/>
        <v>10</v>
      </c>
      <c r="H39" s="51">
        <f t="shared" si="3"/>
        <v>58270518.869999997</v>
      </c>
      <c r="I39" s="51">
        <f t="shared" si="3"/>
        <v>8790000</v>
      </c>
      <c r="J39" s="45"/>
      <c r="K39" s="49">
        <f t="shared" si="4"/>
        <v>0</v>
      </c>
      <c r="L39" s="38">
        <f t="shared" si="4"/>
        <v>15754812.649999999</v>
      </c>
      <c r="M39" s="38">
        <f t="shared" ref="M39:M44" si="5">D39-I39</f>
        <v>-980000</v>
      </c>
    </row>
    <row r="40" spans="1:13" x14ac:dyDescent="0.3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3"/>
        <v>44454</v>
      </c>
      <c r="G40" s="49">
        <f t="shared" si="3"/>
        <v>10</v>
      </c>
      <c r="H40" s="51">
        <f t="shared" si="3"/>
        <v>50125029.630000003</v>
      </c>
      <c r="I40" s="51">
        <f t="shared" si="3"/>
        <v>7510000</v>
      </c>
      <c r="J40" s="45"/>
      <c r="K40" s="49">
        <f t="shared" si="4"/>
        <v>0</v>
      </c>
      <c r="L40" s="38">
        <f t="shared" si="4"/>
        <v>4877024.9900000021</v>
      </c>
      <c r="M40" s="38">
        <f t="shared" si="5"/>
        <v>-180000</v>
      </c>
    </row>
    <row r="41" spans="1:13" x14ac:dyDescent="0.3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3"/>
        <v>44457</v>
      </c>
      <c r="G41" s="49">
        <f t="shared" si="3"/>
        <v>9</v>
      </c>
      <c r="H41" s="51">
        <f t="shared" si="3"/>
        <v>50237780</v>
      </c>
      <c r="I41" s="51">
        <f t="shared" si="3"/>
        <v>6850000</v>
      </c>
      <c r="J41" s="45"/>
      <c r="K41" s="49">
        <f t="shared" si="4"/>
        <v>-1</v>
      </c>
      <c r="L41" s="38">
        <f t="shared" si="4"/>
        <v>1762401.4299999997</v>
      </c>
      <c r="M41" s="38">
        <f t="shared" si="5"/>
        <v>830000</v>
      </c>
    </row>
    <row r="42" spans="1:13" x14ac:dyDescent="0.3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3"/>
        <v>44461</v>
      </c>
      <c r="G42" s="49">
        <f t="shared" si="3"/>
        <v>10</v>
      </c>
      <c r="H42" s="51">
        <f t="shared" si="3"/>
        <v>53911686</v>
      </c>
      <c r="I42" s="51">
        <f t="shared" si="3"/>
        <v>7660000</v>
      </c>
      <c r="J42" s="45"/>
      <c r="K42" s="49">
        <f t="shared" si="4"/>
        <v>0</v>
      </c>
      <c r="L42" s="38">
        <f t="shared" si="4"/>
        <v>3663879.6099999994</v>
      </c>
      <c r="M42" s="38">
        <f t="shared" si="5"/>
        <v>-420000</v>
      </c>
    </row>
    <row r="43" spans="1:13" x14ac:dyDescent="0.3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3"/>
        <v>44464</v>
      </c>
      <c r="G43" s="49">
        <f t="shared" si="3"/>
        <v>10</v>
      </c>
      <c r="H43" s="51">
        <f t="shared" si="3"/>
        <v>49885533.799999997</v>
      </c>
      <c r="I43" s="51">
        <f t="shared" si="3"/>
        <v>7950000</v>
      </c>
      <c r="J43" s="45"/>
      <c r="K43" s="49">
        <f t="shared" si="4"/>
        <v>-2</v>
      </c>
      <c r="L43" s="38">
        <f t="shared" si="4"/>
        <v>-12847492.240000002</v>
      </c>
      <c r="M43" s="38">
        <f t="shared" si="5"/>
        <v>10000000</v>
      </c>
    </row>
    <row r="44" spans="1:13" x14ac:dyDescent="0.3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3"/>
        <v>44466</v>
      </c>
      <c r="G44" s="49">
        <f t="shared" si="3"/>
        <v>11</v>
      </c>
      <c r="H44" s="51">
        <f t="shared" si="3"/>
        <v>50539113.43</v>
      </c>
      <c r="I44" s="51">
        <f t="shared" si="3"/>
        <v>8410000</v>
      </c>
      <c r="J44" s="45"/>
      <c r="K44" s="49">
        <f t="shared" si="4"/>
        <v>1</v>
      </c>
      <c r="L44" s="38">
        <f t="shared" si="4"/>
        <v>7759796.6599999964</v>
      </c>
      <c r="M44" s="38">
        <f t="shared" si="5"/>
        <v>-280000</v>
      </c>
    </row>
    <row r="45" spans="1:13" x14ac:dyDescent="0.3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" thickBot="1" x14ac:dyDescent="0.4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71</v>
      </c>
      <c r="H46" s="39">
        <f>SUM(H38:H45)</f>
        <v>367411106.73000002</v>
      </c>
      <c r="I46" s="39">
        <f>SUM(I38:I45)</f>
        <v>58610000</v>
      </c>
      <c r="J46" s="46"/>
      <c r="K46" s="14">
        <f>G46-B46</f>
        <v>-1</v>
      </c>
      <c r="L46" s="39">
        <f>SUM(L38:L45)</f>
        <v>26304385.999999993</v>
      </c>
      <c r="M46" s="39">
        <f>SUM(M38:M45)</f>
        <v>5230000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10.142857142857142</v>
      </c>
      <c r="H48" s="61">
        <f>SUM(H38:H45)/COUNT(H38:H45)</f>
        <v>52487300.961428575</v>
      </c>
      <c r="I48" s="61">
        <f>SUM(I38:I45)/COUNT(I38:I45)</f>
        <v>8372857.1428571427</v>
      </c>
      <c r="J48" s="48"/>
      <c r="K48" s="62">
        <f>SUM(K38:K45)/COUNT(K38:K45)</f>
        <v>-0.14285714285714285</v>
      </c>
      <c r="L48" s="63">
        <f>SUM(L38:L45)/COUNT(L38:L45)</f>
        <v>3757769.4285714277</v>
      </c>
      <c r="M48" s="63">
        <f>SUM(M38:M45)/COUNT(M38:M45)</f>
        <v>747142.85714285716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H21</f>
        <v>30511772.780000001</v>
      </c>
      <c r="I52" s="69"/>
      <c r="J52" s="45"/>
      <c r="K52" s="68">
        <f>G52-B52</f>
        <v>4</v>
      </c>
      <c r="L52" s="69">
        <f>H52-C52</f>
        <v>16180600.440000001</v>
      </c>
      <c r="M52" s="69"/>
    </row>
    <row r="53" spans="1:13" x14ac:dyDescent="0.3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H22</f>
        <v>25360997.579999998</v>
      </c>
      <c r="I53" s="69"/>
      <c r="J53" s="45"/>
      <c r="K53" s="68">
        <f t="shared" ref="K53:L57" si="6">G53-B53</f>
        <v>0</v>
      </c>
      <c r="L53" s="69">
        <f t="shared" si="6"/>
        <v>-42443042.570000008</v>
      </c>
      <c r="M53" s="69"/>
    </row>
    <row r="54" spans="1:13" x14ac:dyDescent="0.3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H23</f>
        <v>40805499.339999996</v>
      </c>
      <c r="I54" s="69"/>
      <c r="J54" s="45"/>
      <c r="K54" s="68">
        <f t="shared" si="6"/>
        <v>0</v>
      </c>
      <c r="L54" s="69">
        <f t="shared" si="6"/>
        <v>-22918331.980000004</v>
      </c>
      <c r="M54" s="69"/>
    </row>
    <row r="55" spans="1:13" x14ac:dyDescent="0.3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H24</f>
        <v>50155231.539999999</v>
      </c>
      <c r="I55" s="69"/>
      <c r="J55" s="45"/>
      <c r="K55" s="68">
        <f t="shared" si="6"/>
        <v>0</v>
      </c>
      <c r="L55" s="69">
        <f t="shared" si="6"/>
        <v>-13431828.619999997</v>
      </c>
      <c r="M55" s="69"/>
    </row>
    <row r="56" spans="1:13" x14ac:dyDescent="0.3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H25</f>
        <v>26049268.010000002</v>
      </c>
      <c r="I56" s="69"/>
      <c r="J56" s="45"/>
      <c r="K56" s="68">
        <f t="shared" si="6"/>
        <v>-3</v>
      </c>
      <c r="L56" s="69">
        <f t="shared" si="6"/>
        <v>-34865183.409999996</v>
      </c>
      <c r="M56" s="69"/>
    </row>
    <row r="57" spans="1:13" x14ac:dyDescent="0.3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6"/>
        <v>-9236562.7899999991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172882769.24999997</v>
      </c>
      <c r="I59" s="70"/>
      <c r="J59" s="46"/>
      <c r="K59" s="68">
        <f>SUM(K52:K58)</f>
        <v>1</v>
      </c>
      <c r="L59" s="70">
        <f>SUM(L52:L58)</f>
        <v>-106714348.93000001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540293875.98000002</v>
      </c>
      <c r="I61" s="72"/>
      <c r="J61" s="46"/>
      <c r="K61" s="71"/>
      <c r="L61" s="72">
        <f>L59+L46</f>
        <v>-80409962.930000007</v>
      </c>
      <c r="M61" s="72"/>
    </row>
    <row r="62" spans="1:13" ht="13.5" thickTop="1" x14ac:dyDescent="0.3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B66A-C6B3-46E5-A4F9-85DFBD4FAE9E}">
  <dimension ref="A1:M62"/>
  <sheetViews>
    <sheetView topLeftCell="A40" workbookViewId="0">
      <selection activeCell="C15" sqref="C15"/>
    </sheetView>
  </sheetViews>
  <sheetFormatPr defaultRowHeight="13" x14ac:dyDescent="0.3"/>
  <cols>
    <col min="1" max="1" width="23.816406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3.26953125" style="35" customWidth="1"/>
    <col min="7" max="7" width="5.7265625" style="35" customWidth="1"/>
    <col min="8" max="8" width="14.26953125" style="35" bestFit="1" customWidth="1"/>
    <col min="9" max="9" width="13.3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10">
        <v>44107</v>
      </c>
      <c r="B3" s="90">
        <v>10</v>
      </c>
      <c r="C3" s="12">
        <v>51828741.32</v>
      </c>
      <c r="D3" s="97">
        <v>7021851.8099999996</v>
      </c>
      <c r="F3" s="10">
        <v>44471</v>
      </c>
      <c r="G3" s="90">
        <v>9</v>
      </c>
      <c r="H3" s="51">
        <v>63128994</v>
      </c>
      <c r="I3" s="51">
        <f>1100000+900000+620000+500000+720000+1100000+870000+1150000+650000</f>
        <v>7610000</v>
      </c>
      <c r="J3" s="45"/>
      <c r="K3" s="49">
        <f t="shared" ref="K3:L10" si="0">G3-B3</f>
        <v>-1</v>
      </c>
      <c r="L3" s="38">
        <f t="shared" si="0"/>
        <v>11300252.68</v>
      </c>
      <c r="M3" s="38">
        <f>D3-I3</f>
        <v>-588148.19000000041</v>
      </c>
    </row>
    <row r="4" spans="1:13" ht="14.5" x14ac:dyDescent="0.35">
      <c r="A4" s="10">
        <v>44108</v>
      </c>
      <c r="B4" s="93">
        <v>8</v>
      </c>
      <c r="C4" s="12">
        <v>37121972.289999999</v>
      </c>
      <c r="D4" s="98">
        <v>5761851.8799999999</v>
      </c>
      <c r="F4" s="10">
        <v>44478</v>
      </c>
      <c r="G4" s="93">
        <v>10</v>
      </c>
      <c r="H4" s="51">
        <v>63785603</v>
      </c>
      <c r="I4" s="51">
        <v>7770000</v>
      </c>
      <c r="J4" s="45"/>
      <c r="K4" s="49">
        <f t="shared" si="0"/>
        <v>2</v>
      </c>
      <c r="L4" s="38">
        <f t="shared" si="0"/>
        <v>26663630.710000001</v>
      </c>
      <c r="M4" s="38">
        <f t="shared" ref="M4:M10" si="1">D4-I4</f>
        <v>-2008148.12</v>
      </c>
    </row>
    <row r="5" spans="1:13" ht="14.5" x14ac:dyDescent="0.35">
      <c r="A5" s="10">
        <v>44114</v>
      </c>
      <c r="B5" s="93">
        <v>10</v>
      </c>
      <c r="C5" s="12">
        <v>50968793.780000001</v>
      </c>
      <c r="D5" s="99">
        <v>7661851.8099999996</v>
      </c>
      <c r="F5" s="10">
        <v>44485</v>
      </c>
      <c r="G5" s="93">
        <v>10</v>
      </c>
      <c r="H5" s="51">
        <v>63049364</v>
      </c>
      <c r="I5" s="51">
        <v>7960000</v>
      </c>
      <c r="J5" s="45"/>
      <c r="K5" s="49">
        <f t="shared" si="0"/>
        <v>0</v>
      </c>
      <c r="L5" s="38">
        <f t="shared" si="0"/>
        <v>12080570.219999999</v>
      </c>
      <c r="M5" s="38">
        <f t="shared" si="1"/>
        <v>-298148.19000000041</v>
      </c>
    </row>
    <row r="6" spans="1:13" ht="14.5" x14ac:dyDescent="0.35">
      <c r="A6" s="10">
        <v>44115</v>
      </c>
      <c r="B6" s="93">
        <v>9</v>
      </c>
      <c r="C6" s="12">
        <v>38706412.240000002</v>
      </c>
      <c r="D6" s="99">
        <v>5921851.8600000003</v>
      </c>
      <c r="F6" s="10">
        <v>44488</v>
      </c>
      <c r="G6" s="93">
        <v>9</v>
      </c>
      <c r="H6" s="51">
        <v>45771348.490000002</v>
      </c>
      <c r="I6" s="51">
        <v>6830000</v>
      </c>
      <c r="J6" s="45"/>
      <c r="K6" s="49">
        <f t="shared" si="0"/>
        <v>0</v>
      </c>
      <c r="L6" s="38">
        <f t="shared" si="0"/>
        <v>7064936.25</v>
      </c>
      <c r="M6" s="38">
        <f t="shared" si="1"/>
        <v>-908148.13999999966</v>
      </c>
    </row>
    <row r="7" spans="1:13" ht="14.5" x14ac:dyDescent="0.35">
      <c r="A7" s="10">
        <v>44121</v>
      </c>
      <c r="B7" s="93">
        <v>10</v>
      </c>
      <c r="C7" s="12">
        <v>56307083.149999999</v>
      </c>
      <c r="D7" s="99">
        <v>6941851.8499999996</v>
      </c>
      <c r="F7" s="10">
        <v>44492</v>
      </c>
      <c r="G7" s="93">
        <v>10</v>
      </c>
      <c r="H7" s="51">
        <v>56965556.270000003</v>
      </c>
      <c r="I7" s="51">
        <v>7110000</v>
      </c>
      <c r="J7" s="45"/>
      <c r="K7" s="49">
        <f t="shared" si="0"/>
        <v>0</v>
      </c>
      <c r="L7" s="38">
        <f t="shared" si="0"/>
        <v>658473.12000000477</v>
      </c>
      <c r="M7" s="38">
        <f t="shared" si="1"/>
        <v>-168148.15000000037</v>
      </c>
    </row>
    <row r="8" spans="1:13" ht="14.5" x14ac:dyDescent="0.35">
      <c r="A8" s="10">
        <v>44127</v>
      </c>
      <c r="B8" s="93">
        <v>8</v>
      </c>
      <c r="C8" s="12">
        <v>37778581.329999998</v>
      </c>
      <c r="D8" s="99">
        <v>6181851.8300000001</v>
      </c>
      <c r="F8" s="10">
        <v>44494</v>
      </c>
      <c r="G8" s="93">
        <v>9</v>
      </c>
      <c r="H8" s="51">
        <v>50175479</v>
      </c>
      <c r="I8" s="51">
        <v>7140000</v>
      </c>
      <c r="J8" s="45"/>
      <c r="K8" s="49">
        <f t="shared" si="0"/>
        <v>1</v>
      </c>
      <c r="L8" s="38">
        <f t="shared" si="0"/>
        <v>12396897.670000002</v>
      </c>
      <c r="M8" s="38">
        <f t="shared" si="1"/>
        <v>-958148.16999999993</v>
      </c>
    </row>
    <row r="9" spans="1:13" ht="14.5" x14ac:dyDescent="0.35">
      <c r="A9" s="10">
        <v>44128</v>
      </c>
      <c r="B9" s="93">
        <v>9</v>
      </c>
      <c r="C9" s="12">
        <v>46485713.340000004</v>
      </c>
      <c r="D9" s="98">
        <v>7091851.8600000003</v>
      </c>
      <c r="F9" s="10">
        <v>44499</v>
      </c>
      <c r="G9" s="93">
        <v>10</v>
      </c>
      <c r="H9" s="51">
        <v>68694890.170000002</v>
      </c>
      <c r="I9" s="51">
        <v>10380000</v>
      </c>
      <c r="J9" s="45"/>
      <c r="K9" s="49">
        <f t="shared" si="0"/>
        <v>1</v>
      </c>
      <c r="L9" s="38">
        <f t="shared" si="0"/>
        <v>22209176.829999998</v>
      </c>
      <c r="M9" s="38">
        <f t="shared" si="1"/>
        <v>-3288148.1399999997</v>
      </c>
    </row>
    <row r="10" spans="1:13" ht="14.5" x14ac:dyDescent="0.35">
      <c r="A10" s="10">
        <v>44135</v>
      </c>
      <c r="B10" s="93">
        <v>10</v>
      </c>
      <c r="C10" s="12">
        <v>66087437.259999998</v>
      </c>
      <c r="D10" s="98">
        <v>14991851.890000001</v>
      </c>
      <c r="F10" s="10">
        <v>44500</v>
      </c>
      <c r="G10" s="93">
        <v>9</v>
      </c>
      <c r="H10" s="51">
        <v>45989918</v>
      </c>
      <c r="I10" s="51">
        <v>6970000</v>
      </c>
      <c r="J10" s="45"/>
      <c r="K10" s="49">
        <f t="shared" si="0"/>
        <v>-1</v>
      </c>
      <c r="L10" s="38">
        <f t="shared" si="0"/>
        <v>-20097519.259999998</v>
      </c>
      <c r="M10" s="38">
        <f t="shared" si="1"/>
        <v>8021851.8900000006</v>
      </c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74</v>
      </c>
      <c r="C12" s="39">
        <f>SUM(C3:C11)</f>
        <v>385284734.71000004</v>
      </c>
      <c r="D12" s="54">
        <f>SUM(D3:D11)</f>
        <v>61574814.789999999</v>
      </c>
      <c r="F12" s="52" t="s">
        <v>66</v>
      </c>
      <c r="G12" s="52">
        <f>SUM(G3:G11)</f>
        <v>76</v>
      </c>
      <c r="H12" s="39">
        <f>SUM(H3:H11)</f>
        <v>457561152.93000001</v>
      </c>
      <c r="I12" s="39">
        <f>SUM(I3:I11)</f>
        <v>61770000</v>
      </c>
      <c r="J12" s="46"/>
      <c r="K12" s="14">
        <f>G12-B12</f>
        <v>2</v>
      </c>
      <c r="L12" s="39">
        <f>SUM(L3:L11)</f>
        <v>72276418.219999999</v>
      </c>
      <c r="M12" s="39">
        <f>SUM(M3:M11)</f>
        <v>-195185.20999999996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>
        <f>SUM(B3:B11)/COUNT(B3:B11)</f>
        <v>9.25</v>
      </c>
      <c r="C14" s="63">
        <f>SUM(C3:C11)/COUNT(C3:C11)</f>
        <v>48160591.838750005</v>
      </c>
      <c r="D14" s="63">
        <f>SUM(D3:D11)/COUNT(D3:D11)</f>
        <v>7696851.8487499999</v>
      </c>
      <c r="F14" s="59"/>
      <c r="G14" s="60">
        <f>SUM(G3:G11)/COUNT(G3:G11)</f>
        <v>9.5</v>
      </c>
      <c r="H14" s="61">
        <f>SUM(H3:H11)/COUNT(H3:H11)</f>
        <v>57195144.116250001</v>
      </c>
      <c r="I14" s="61">
        <f>SUM(I3:I11)/COUNT(I3:I11)</f>
        <v>7721250</v>
      </c>
      <c r="J14" s="48"/>
      <c r="K14" s="62">
        <f>SUM(K3:K11)/COUNT(K3:K11)</f>
        <v>0.25</v>
      </c>
      <c r="L14" s="63">
        <f>SUM(L3:L11)/COUNT(L3:L11)</f>
        <v>9034552.2774999999</v>
      </c>
      <c r="M14" s="63">
        <f>SUM(M3:M11)/COUNT(M3:M11)</f>
        <v>-24398.151249999995</v>
      </c>
    </row>
    <row r="15" spans="1:13" x14ac:dyDescent="0.3">
      <c r="A15" s="83"/>
      <c r="B15" s="84"/>
      <c r="C15" s="85"/>
      <c r="D15" s="85"/>
      <c r="F15" s="83"/>
      <c r="G15" s="84"/>
      <c r="H15" s="85"/>
      <c r="I15" s="85"/>
      <c r="J15" s="48"/>
      <c r="K15" s="84"/>
      <c r="L15" s="85"/>
      <c r="M15" s="85"/>
    </row>
    <row r="16" spans="1:13" x14ac:dyDescent="0.3">
      <c r="A16" s="83"/>
      <c r="B16" s="84"/>
      <c r="C16" s="85"/>
      <c r="D16" s="85"/>
      <c r="F16" s="83"/>
      <c r="G16" s="84"/>
      <c r="H16" s="85"/>
      <c r="I16" s="85"/>
      <c r="J16" s="48"/>
      <c r="K16" s="84"/>
      <c r="L16" s="85"/>
      <c r="M16" s="85"/>
    </row>
    <row r="17" spans="1:13" x14ac:dyDescent="0.3">
      <c r="A17" s="83"/>
      <c r="B17" s="84"/>
      <c r="C17" s="85"/>
      <c r="D17" s="85"/>
      <c r="F17" s="83"/>
      <c r="G17" s="84"/>
      <c r="H17" s="85"/>
      <c r="I17" s="85"/>
      <c r="J17" s="48"/>
      <c r="K17" s="84"/>
      <c r="L17" s="85"/>
      <c r="M17" s="85"/>
    </row>
    <row r="18" spans="1:13" x14ac:dyDescent="0.3">
      <c r="H18" s="78"/>
    </row>
    <row r="19" spans="1:13" x14ac:dyDescent="0.3">
      <c r="A19" s="34" t="s">
        <v>71</v>
      </c>
    </row>
    <row r="20" spans="1:13" ht="29.5" thickBot="1" x14ac:dyDescent="0.4">
      <c r="A20" s="76" t="s">
        <v>70</v>
      </c>
      <c r="B20" s="76" t="s">
        <v>69</v>
      </c>
      <c r="C20" s="76" t="s">
        <v>65</v>
      </c>
      <c r="D20" s="76"/>
      <c r="F20" s="76" t="s">
        <v>70</v>
      </c>
      <c r="G20" s="76" t="s">
        <v>69</v>
      </c>
      <c r="H20" s="76" t="s">
        <v>65</v>
      </c>
      <c r="I20" s="76" t="s">
        <v>74</v>
      </c>
      <c r="J20" s="77"/>
      <c r="K20" s="66" t="s">
        <v>78</v>
      </c>
      <c r="L20" s="67" t="s">
        <v>76</v>
      </c>
      <c r="M20" s="67" t="s">
        <v>77</v>
      </c>
    </row>
    <row r="21" spans="1:13" ht="14.5" x14ac:dyDescent="0.35">
      <c r="A21" s="23">
        <v>44107</v>
      </c>
      <c r="B21">
        <v>3</v>
      </c>
      <c r="C21" s="22">
        <v>31851333.079999998</v>
      </c>
      <c r="D21" s="74"/>
      <c r="F21" s="73">
        <v>44471</v>
      </c>
      <c r="G21" s="68">
        <v>2</v>
      </c>
      <c r="H21" s="74">
        <f>12028074.74+13102869.56</f>
        <v>25130944.300000001</v>
      </c>
      <c r="I21" s="69"/>
      <c r="J21" s="45"/>
      <c r="K21" s="68">
        <f t="shared" ref="K21:L26" si="2">G21-B21</f>
        <v>-1</v>
      </c>
      <c r="L21" s="69">
        <f>H21-C21</f>
        <v>-6720388.7799999975</v>
      </c>
      <c r="M21" s="69"/>
    </row>
    <row r="22" spans="1:13" ht="14.5" x14ac:dyDescent="0.35">
      <c r="A22" s="23">
        <v>44114</v>
      </c>
      <c r="B22">
        <v>7</v>
      </c>
      <c r="C22" s="22">
        <f>50032709.7+12633938.7</f>
        <v>62666648.400000006</v>
      </c>
      <c r="D22" s="74"/>
      <c r="F22" s="73">
        <v>44478</v>
      </c>
      <c r="G22" s="68">
        <v>7</v>
      </c>
      <c r="H22" s="74">
        <v>58485217.630000003</v>
      </c>
      <c r="I22" s="69"/>
      <c r="J22" s="45"/>
      <c r="K22" s="68">
        <f t="shared" si="2"/>
        <v>0</v>
      </c>
      <c r="L22" s="69">
        <f>H22-C22</f>
        <v>-4181430.7700000033</v>
      </c>
      <c r="M22" s="69"/>
    </row>
    <row r="23" spans="1:13" ht="14.5" x14ac:dyDescent="0.35">
      <c r="A23" s="23">
        <v>44121</v>
      </c>
      <c r="B23">
        <v>7</v>
      </c>
      <c r="C23" s="22">
        <f>152302186.29-95013495.39</f>
        <v>57288690.899999991</v>
      </c>
      <c r="D23" s="74"/>
      <c r="F23" s="73">
        <v>44485</v>
      </c>
      <c r="G23" s="68">
        <v>7</v>
      </c>
      <c r="H23" s="74">
        <f>44730715+14304886</f>
        <v>59035601</v>
      </c>
      <c r="I23" s="69"/>
      <c r="J23" s="45"/>
      <c r="K23" s="68">
        <f t="shared" si="2"/>
        <v>0</v>
      </c>
      <c r="L23" s="69">
        <f>H23-C23</f>
        <v>1746910.1000000089</v>
      </c>
      <c r="M23" s="69"/>
    </row>
    <row r="24" spans="1:13" ht="14.5" x14ac:dyDescent="0.35">
      <c r="A24" s="23">
        <v>44128</v>
      </c>
      <c r="B24">
        <v>7</v>
      </c>
      <c r="C24" s="22">
        <f>141270873.07-84264294.67</f>
        <v>57006578.399999991</v>
      </c>
      <c r="D24" s="74"/>
      <c r="F24" s="73">
        <v>44492</v>
      </c>
      <c r="G24" s="68">
        <v>7</v>
      </c>
      <c r="H24" s="74">
        <v>50245020.43</v>
      </c>
      <c r="I24" s="69"/>
      <c r="J24" s="45"/>
      <c r="K24" s="68">
        <f t="shared" si="2"/>
        <v>0</v>
      </c>
      <c r="L24" s="69">
        <f t="shared" si="2"/>
        <v>-6761557.9699999914</v>
      </c>
      <c r="M24" s="69"/>
    </row>
    <row r="25" spans="1:13" ht="14.5" x14ac:dyDescent="0.35">
      <c r="A25" s="23">
        <v>44135</v>
      </c>
      <c r="B25">
        <v>7</v>
      </c>
      <c r="C25" s="22">
        <v>72020876.370000005</v>
      </c>
      <c r="D25" s="74"/>
      <c r="F25" s="73">
        <v>44499</v>
      </c>
      <c r="G25" s="68">
        <v>7</v>
      </c>
      <c r="H25" s="74">
        <v>59324399.030000001</v>
      </c>
      <c r="I25" s="69"/>
      <c r="J25" s="45"/>
      <c r="K25" s="68">
        <f t="shared" si="2"/>
        <v>0</v>
      </c>
      <c r="L25" s="69">
        <f t="shared" si="2"/>
        <v>-12696477.340000004</v>
      </c>
      <c r="M25" s="69"/>
    </row>
    <row r="26" spans="1:13" x14ac:dyDescent="0.3">
      <c r="A26" s="73"/>
      <c r="B26" s="68"/>
      <c r="C26" s="74"/>
      <c r="D26" s="74"/>
      <c r="F26" s="73">
        <v>44500</v>
      </c>
      <c r="G26" s="68">
        <v>1</v>
      </c>
      <c r="H26" s="74">
        <v>12000000</v>
      </c>
      <c r="I26" s="69"/>
      <c r="J26" s="45"/>
      <c r="K26" s="68"/>
      <c r="L26" s="69">
        <f t="shared" si="2"/>
        <v>12000000</v>
      </c>
      <c r="M26" s="69"/>
    </row>
    <row r="27" spans="1:13" ht="14.5" x14ac:dyDescent="0.35">
      <c r="A27" s="73"/>
      <c r="B27" s="68"/>
      <c r="C27" s="87"/>
      <c r="D27" s="74"/>
      <c r="F27" s="73"/>
      <c r="G27" s="68"/>
      <c r="H27" s="100"/>
      <c r="I27" s="69"/>
      <c r="J27" s="45"/>
      <c r="K27" s="68"/>
      <c r="L27" s="69"/>
      <c r="M27" s="69"/>
    </row>
    <row r="28" spans="1:13" ht="13.5" thickBot="1" x14ac:dyDescent="0.35">
      <c r="A28" s="75" t="s">
        <v>66</v>
      </c>
      <c r="B28" s="75">
        <f>SUM(B21:B26)</f>
        <v>31</v>
      </c>
      <c r="C28" s="88">
        <f>SUM(C21:C26)</f>
        <v>280834127.14999998</v>
      </c>
      <c r="D28" s="70"/>
      <c r="F28" s="75" t="s">
        <v>66</v>
      </c>
      <c r="G28" s="75">
        <f>SUM(G21:G27)</f>
        <v>31</v>
      </c>
      <c r="H28" s="70">
        <f>SUM(H21:H27)</f>
        <v>264221182.39000002</v>
      </c>
      <c r="I28" s="70"/>
      <c r="J28" s="46"/>
      <c r="K28" s="68">
        <f>SUM(K21:K27)</f>
        <v>-1</v>
      </c>
      <c r="L28" s="70">
        <f>SUM(L21:L27)</f>
        <v>-16612944.759999987</v>
      </c>
      <c r="M28" s="70"/>
    </row>
    <row r="29" spans="1:13" ht="13.5" thickTop="1" x14ac:dyDescent="0.3">
      <c r="A29" s="68"/>
      <c r="B29" s="68"/>
      <c r="C29" s="74"/>
      <c r="D29" s="74"/>
      <c r="F29" s="68"/>
      <c r="G29" s="68"/>
      <c r="H29" s="68"/>
      <c r="I29" s="68"/>
      <c r="K29" s="68"/>
      <c r="L29" s="68"/>
      <c r="M29" s="68"/>
    </row>
    <row r="30" spans="1:13" ht="13.5" thickBot="1" x14ac:dyDescent="0.35">
      <c r="A30" s="71" t="s">
        <v>67</v>
      </c>
      <c r="B30" s="71"/>
      <c r="C30" s="72">
        <f>C12+C28</f>
        <v>666118861.86000001</v>
      </c>
      <c r="D30" s="72"/>
      <c r="E30" s="41"/>
      <c r="F30" s="71" t="s">
        <v>67</v>
      </c>
      <c r="G30" s="71"/>
      <c r="H30" s="72">
        <f>H28+H12</f>
        <v>721782335.32000005</v>
      </c>
      <c r="I30" s="72"/>
      <c r="J30" s="46"/>
      <c r="K30" s="71"/>
      <c r="L30" s="72">
        <f>L28+L12</f>
        <v>55663473.460000008</v>
      </c>
      <c r="M30" s="72"/>
    </row>
    <row r="31" spans="1:13" ht="13.5" thickTop="1" x14ac:dyDescent="0.3"/>
    <row r="32" spans="1:13" x14ac:dyDescent="0.3">
      <c r="C32" s="78"/>
    </row>
    <row r="33" spans="1:13" x14ac:dyDescent="0.3">
      <c r="H33" s="78"/>
      <c r="I33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3">F3</f>
        <v>44471</v>
      </c>
      <c r="G38" s="49">
        <f t="shared" si="3"/>
        <v>9</v>
      </c>
      <c r="H38" s="51">
        <f t="shared" si="3"/>
        <v>63128994</v>
      </c>
      <c r="I38" s="51">
        <f t="shared" si="3"/>
        <v>7610000</v>
      </c>
      <c r="J38" s="45"/>
      <c r="K38" s="49">
        <f t="shared" ref="K38:L44" si="4">G38-B38</f>
        <v>-1</v>
      </c>
      <c r="L38" s="38">
        <f t="shared" si="4"/>
        <v>14021511.899999999</v>
      </c>
      <c r="M38" s="38">
        <f>D38-I38</f>
        <v>90000</v>
      </c>
    </row>
    <row r="39" spans="1:13" x14ac:dyDescent="0.3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3"/>
        <v>44478</v>
      </c>
      <c r="G39" s="49">
        <f t="shared" si="3"/>
        <v>10</v>
      </c>
      <c r="H39" s="51">
        <f t="shared" si="3"/>
        <v>63785603</v>
      </c>
      <c r="I39" s="51">
        <f t="shared" si="3"/>
        <v>7770000</v>
      </c>
      <c r="J39" s="45"/>
      <c r="K39" s="49">
        <f t="shared" si="4"/>
        <v>0</v>
      </c>
      <c r="L39" s="38">
        <f t="shared" si="4"/>
        <v>21269896.780000001</v>
      </c>
      <c r="M39" s="38">
        <f t="shared" ref="M39:M44" si="5">D39-I39</f>
        <v>40000</v>
      </c>
    </row>
    <row r="40" spans="1:13" x14ac:dyDescent="0.3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3"/>
        <v>44485</v>
      </c>
      <c r="G40" s="49">
        <f t="shared" si="3"/>
        <v>10</v>
      </c>
      <c r="H40" s="51">
        <f t="shared" si="3"/>
        <v>63049364</v>
      </c>
      <c r="I40" s="51">
        <f t="shared" si="3"/>
        <v>7960000</v>
      </c>
      <c r="J40" s="45"/>
      <c r="K40" s="49">
        <f t="shared" si="4"/>
        <v>0</v>
      </c>
      <c r="L40" s="38">
        <f t="shared" si="4"/>
        <v>17801359.359999999</v>
      </c>
      <c r="M40" s="38">
        <f t="shared" si="5"/>
        <v>-630000</v>
      </c>
    </row>
    <row r="41" spans="1:13" x14ac:dyDescent="0.3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3"/>
        <v>44488</v>
      </c>
      <c r="G41" s="49">
        <f t="shared" si="3"/>
        <v>9</v>
      </c>
      <c r="H41" s="51">
        <f t="shared" si="3"/>
        <v>45771348.490000002</v>
      </c>
      <c r="I41" s="51">
        <f t="shared" si="3"/>
        <v>6830000</v>
      </c>
      <c r="J41" s="45"/>
      <c r="K41" s="49">
        <f t="shared" si="4"/>
        <v>-1</v>
      </c>
      <c r="L41" s="38">
        <f t="shared" si="4"/>
        <v>-2704030.0799999982</v>
      </c>
      <c r="M41" s="38">
        <f t="shared" si="5"/>
        <v>850000</v>
      </c>
    </row>
    <row r="42" spans="1:13" x14ac:dyDescent="0.3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3"/>
        <v>44492</v>
      </c>
      <c r="G42" s="49">
        <f t="shared" si="3"/>
        <v>10</v>
      </c>
      <c r="H42" s="51">
        <f t="shared" si="3"/>
        <v>56965556.270000003</v>
      </c>
      <c r="I42" s="51">
        <f t="shared" si="3"/>
        <v>7110000</v>
      </c>
      <c r="J42" s="45"/>
      <c r="K42" s="49">
        <f t="shared" si="4"/>
        <v>0</v>
      </c>
      <c r="L42" s="38">
        <f t="shared" si="4"/>
        <v>6717749.8800000027</v>
      </c>
      <c r="M42" s="38">
        <f t="shared" si="5"/>
        <v>130000</v>
      </c>
    </row>
    <row r="43" spans="1:13" x14ac:dyDescent="0.3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3"/>
        <v>44494</v>
      </c>
      <c r="G43" s="49">
        <f t="shared" si="3"/>
        <v>9</v>
      </c>
      <c r="H43" s="51">
        <f t="shared" si="3"/>
        <v>50175479</v>
      </c>
      <c r="I43" s="51">
        <f t="shared" si="3"/>
        <v>7140000</v>
      </c>
      <c r="J43" s="45"/>
      <c r="K43" s="49">
        <f t="shared" si="4"/>
        <v>-3</v>
      </c>
      <c r="L43" s="38">
        <f t="shared" si="4"/>
        <v>-12557547.039999999</v>
      </c>
      <c r="M43" s="38">
        <f t="shared" si="5"/>
        <v>10810000</v>
      </c>
    </row>
    <row r="44" spans="1:13" x14ac:dyDescent="0.3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3"/>
        <v>44499</v>
      </c>
      <c r="G44" s="49">
        <f t="shared" si="3"/>
        <v>10</v>
      </c>
      <c r="H44" s="51">
        <f t="shared" si="3"/>
        <v>68694890.170000002</v>
      </c>
      <c r="I44" s="51">
        <f t="shared" si="3"/>
        <v>10380000</v>
      </c>
      <c r="J44" s="45"/>
      <c r="K44" s="49">
        <f t="shared" si="4"/>
        <v>0</v>
      </c>
      <c r="L44" s="38">
        <f t="shared" si="4"/>
        <v>25915573.399999999</v>
      </c>
      <c r="M44" s="38">
        <f t="shared" si="5"/>
        <v>-2250000</v>
      </c>
    </row>
    <row r="45" spans="1:13" x14ac:dyDescent="0.3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" thickBot="1" x14ac:dyDescent="0.4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67</v>
      </c>
      <c r="H46" s="39">
        <f>SUM(H38:H45)</f>
        <v>411571234.93000001</v>
      </c>
      <c r="I46" s="39">
        <f>SUM(I38:I45)</f>
        <v>54800000</v>
      </c>
      <c r="J46" s="46"/>
      <c r="K46" s="14">
        <f>G46-B46</f>
        <v>-5</v>
      </c>
      <c r="L46" s="39">
        <f>SUM(L38:L45)</f>
        <v>70464514.200000003</v>
      </c>
      <c r="M46" s="39">
        <f>SUM(M38:M45)</f>
        <v>9040000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9.5714285714285712</v>
      </c>
      <c r="H48" s="61">
        <f>SUM(H38:H45)/COUNT(H38:H45)</f>
        <v>58795890.704285719</v>
      </c>
      <c r="I48" s="61">
        <f>SUM(I38:I45)/COUNT(I38:I45)</f>
        <v>7828571.4285714282</v>
      </c>
      <c r="J48" s="48"/>
      <c r="K48" s="62">
        <f>SUM(K38:K45)/COUNT(K38:K45)</f>
        <v>-0.7142857142857143</v>
      </c>
      <c r="L48" s="63">
        <f>SUM(L38:L45)/COUNT(L38:L45)</f>
        <v>10066359.171428572</v>
      </c>
      <c r="M48" s="63">
        <f>SUM(M38:M45)/COUNT(M38:M45)</f>
        <v>1291428.5714285714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H21</f>
        <v>25130944.300000001</v>
      </c>
      <c r="I52" s="69"/>
      <c r="J52" s="45"/>
      <c r="K52" s="68">
        <f>G52-B52</f>
        <v>4</v>
      </c>
      <c r="L52" s="69">
        <f>H52-C52</f>
        <v>10799771.960000001</v>
      </c>
      <c r="M52" s="69"/>
    </row>
    <row r="53" spans="1:13" x14ac:dyDescent="0.3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H22</f>
        <v>58485217.630000003</v>
      </c>
      <c r="I53" s="69"/>
      <c r="J53" s="45"/>
      <c r="K53" s="68">
        <f t="shared" ref="K53:L57" si="6">G53-B53</f>
        <v>0</v>
      </c>
      <c r="L53" s="69">
        <f t="shared" si="6"/>
        <v>-9318822.5200000033</v>
      </c>
      <c r="M53" s="69"/>
    </row>
    <row r="54" spans="1:13" x14ac:dyDescent="0.3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H23</f>
        <v>59035601</v>
      </c>
      <c r="I54" s="69"/>
      <c r="J54" s="45"/>
      <c r="K54" s="68">
        <f t="shared" si="6"/>
        <v>0</v>
      </c>
      <c r="L54" s="69">
        <f t="shared" si="6"/>
        <v>-4688230.32</v>
      </c>
      <c r="M54" s="69"/>
    </row>
    <row r="55" spans="1:13" x14ac:dyDescent="0.3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H24</f>
        <v>50245020.43</v>
      </c>
      <c r="I55" s="69"/>
      <c r="J55" s="45"/>
      <c r="K55" s="68">
        <f t="shared" si="6"/>
        <v>0</v>
      </c>
      <c r="L55" s="69">
        <f t="shared" si="6"/>
        <v>-13342039.729999997</v>
      </c>
      <c r="M55" s="69"/>
    </row>
    <row r="56" spans="1:13" x14ac:dyDescent="0.3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H25</f>
        <v>59324399.030000001</v>
      </c>
      <c r="I56" s="69"/>
      <c r="J56" s="45"/>
      <c r="K56" s="68">
        <f t="shared" si="6"/>
        <v>-3</v>
      </c>
      <c r="L56" s="69">
        <f t="shared" si="6"/>
        <v>-1590052.3900000006</v>
      </c>
      <c r="M56" s="69"/>
    </row>
    <row r="57" spans="1:13" x14ac:dyDescent="0.3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6"/>
        <v>-9236562.7899999991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252221182.39000002</v>
      </c>
      <c r="I59" s="70"/>
      <c r="J59" s="46"/>
      <c r="K59" s="68">
        <f>SUM(K52:K58)</f>
        <v>1</v>
      </c>
      <c r="L59" s="70">
        <f>SUM(L52:L58)</f>
        <v>-27375935.789999999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663792417.32000005</v>
      </c>
      <c r="I61" s="72"/>
      <c r="J61" s="46"/>
      <c r="K61" s="71"/>
      <c r="L61" s="72">
        <f>L59+L46</f>
        <v>43088578.410000004</v>
      </c>
      <c r="M61" s="72"/>
    </row>
    <row r="62" spans="1:13" ht="13.5" thickTop="1" x14ac:dyDescent="0.3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BC3F-CE86-4216-BFEA-8E30B23FF4B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1614-C61D-4299-BFB7-78517E7FE8D2}">
  <dimension ref="A1:M62"/>
  <sheetViews>
    <sheetView topLeftCell="A8" workbookViewId="0">
      <selection activeCell="F21" sqref="F21:H25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5.6328125" style="35" customWidth="1"/>
    <col min="7" max="7" width="5.7265625" style="35" customWidth="1"/>
    <col min="8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50">
        <v>44136</v>
      </c>
      <c r="B3" s="49">
        <v>9</v>
      </c>
      <c r="C3" s="51">
        <v>45965964.359999999</v>
      </c>
      <c r="D3" s="42">
        <v>9290000</v>
      </c>
      <c r="F3" s="10">
        <v>44506</v>
      </c>
      <c r="G3" s="90">
        <v>10</v>
      </c>
      <c r="H3" s="51">
        <v>59784611.780000001</v>
      </c>
      <c r="I3" s="51">
        <v>7660000</v>
      </c>
      <c r="J3" s="45"/>
      <c r="K3" s="49">
        <f t="shared" ref="K3:L10" si="0">G3-B3</f>
        <v>1</v>
      </c>
      <c r="L3" s="38">
        <f t="shared" si="0"/>
        <v>13818647.420000002</v>
      </c>
      <c r="M3" s="38">
        <f>D3-I3</f>
        <v>1630000</v>
      </c>
    </row>
    <row r="4" spans="1:13" ht="14.5" x14ac:dyDescent="0.35">
      <c r="A4" s="50">
        <v>44142</v>
      </c>
      <c r="B4" s="49">
        <v>11</v>
      </c>
      <c r="C4" s="51">
        <v>53006088.210000001</v>
      </c>
      <c r="D4" s="38">
        <v>8440000</v>
      </c>
      <c r="F4" s="10">
        <v>44507</v>
      </c>
      <c r="G4" s="93">
        <v>9</v>
      </c>
      <c r="H4" s="51">
        <v>47386731.039999999</v>
      </c>
      <c r="I4" s="51">
        <v>6580000</v>
      </c>
      <c r="J4" s="45"/>
      <c r="K4" s="49">
        <f t="shared" si="0"/>
        <v>-2</v>
      </c>
      <c r="L4" s="38">
        <f t="shared" si="0"/>
        <v>-5619357.1700000018</v>
      </c>
      <c r="M4" s="38">
        <f t="shared" ref="M4:M10" si="1">D4-I4</f>
        <v>1860000</v>
      </c>
    </row>
    <row r="5" spans="1:13" ht="14.5" x14ac:dyDescent="0.35">
      <c r="A5" s="50">
        <v>44148</v>
      </c>
      <c r="B5" s="49">
        <v>9</v>
      </c>
      <c r="C5" s="51">
        <v>43831655.93</v>
      </c>
      <c r="D5" s="38">
        <v>6820000</v>
      </c>
      <c r="F5" s="10">
        <v>44513</v>
      </c>
      <c r="G5" s="93">
        <v>10</v>
      </c>
      <c r="H5" s="51">
        <v>72167891</v>
      </c>
      <c r="I5" s="51">
        <v>17750000</v>
      </c>
      <c r="J5" s="45"/>
      <c r="K5" s="49">
        <f t="shared" si="0"/>
        <v>1</v>
      </c>
      <c r="L5" s="38">
        <f t="shared" si="0"/>
        <v>28336235.07</v>
      </c>
      <c r="M5" s="38">
        <f t="shared" si="1"/>
        <v>-10930000</v>
      </c>
    </row>
    <row r="6" spans="1:13" ht="14.5" x14ac:dyDescent="0.35">
      <c r="A6" s="50">
        <v>44149</v>
      </c>
      <c r="B6" s="49">
        <v>10</v>
      </c>
      <c r="C6" s="51">
        <v>51276166</v>
      </c>
      <c r="D6" s="38">
        <f>870000+980000+690000+620000+650000+500000+930000+680000+2000000+800000</f>
        <v>8720000</v>
      </c>
      <c r="F6" s="10">
        <v>44515</v>
      </c>
      <c r="G6" s="93">
        <v>9</v>
      </c>
      <c r="H6" s="51">
        <v>45968045.700000003</v>
      </c>
      <c r="I6" s="51">
        <v>6550000</v>
      </c>
      <c r="J6" s="45"/>
      <c r="K6" s="49">
        <f t="shared" si="0"/>
        <v>-1</v>
      </c>
      <c r="L6" s="38">
        <f t="shared" si="0"/>
        <v>-5308120.299999997</v>
      </c>
      <c r="M6" s="38">
        <f t="shared" si="1"/>
        <v>2170000</v>
      </c>
    </row>
    <row r="7" spans="1:13" ht="14.5" x14ac:dyDescent="0.35">
      <c r="A7" s="50">
        <v>44156</v>
      </c>
      <c r="B7" s="49">
        <v>11</v>
      </c>
      <c r="C7" s="51">
        <v>58213648.270000003</v>
      </c>
      <c r="D7" s="38">
        <v>8850000</v>
      </c>
      <c r="F7" s="10">
        <v>44520</v>
      </c>
      <c r="G7" s="93">
        <v>10</v>
      </c>
      <c r="H7" s="51">
        <v>64135477</v>
      </c>
      <c r="I7" s="51">
        <v>8160000</v>
      </c>
      <c r="J7" s="45"/>
      <c r="K7" s="49">
        <f t="shared" si="0"/>
        <v>-1</v>
      </c>
      <c r="L7" s="38">
        <f t="shared" si="0"/>
        <v>5921828.7299999967</v>
      </c>
      <c r="M7" s="38">
        <f t="shared" si="1"/>
        <v>690000</v>
      </c>
    </row>
    <row r="8" spans="1:13" ht="14.5" x14ac:dyDescent="0.35">
      <c r="A8" s="50">
        <v>44163</v>
      </c>
      <c r="B8" s="49">
        <v>10</v>
      </c>
      <c r="C8" s="51">
        <v>57246122.609999999</v>
      </c>
      <c r="D8" s="38">
        <v>8320000</v>
      </c>
      <c r="F8" s="10">
        <v>44521</v>
      </c>
      <c r="G8" s="93">
        <v>9</v>
      </c>
      <c r="H8" s="51">
        <v>49666549</v>
      </c>
      <c r="I8" s="51">
        <v>6360000</v>
      </c>
      <c r="J8" s="45"/>
      <c r="K8" s="49">
        <f t="shared" si="0"/>
        <v>-1</v>
      </c>
      <c r="L8" s="38">
        <f t="shared" si="0"/>
        <v>-7579573.6099999994</v>
      </c>
      <c r="M8" s="38">
        <f t="shared" si="1"/>
        <v>1960000</v>
      </c>
    </row>
    <row r="9" spans="1:13" ht="14.5" x14ac:dyDescent="0.35">
      <c r="A9" s="50">
        <v>44164</v>
      </c>
      <c r="B9" s="49">
        <v>10</v>
      </c>
      <c r="C9" s="51">
        <v>52195966</v>
      </c>
      <c r="D9" s="38">
        <v>10560000</v>
      </c>
      <c r="F9" s="101">
        <v>44527</v>
      </c>
      <c r="G9" s="102">
        <v>10</v>
      </c>
      <c r="H9" s="103">
        <v>75834125</v>
      </c>
      <c r="I9" s="103">
        <v>11010000</v>
      </c>
      <c r="J9" s="45"/>
      <c r="K9" s="49">
        <f t="shared" si="0"/>
        <v>0</v>
      </c>
      <c r="L9" s="38">
        <f t="shared" si="0"/>
        <v>23638159</v>
      </c>
      <c r="M9" s="38">
        <f t="shared" si="1"/>
        <v>-450000</v>
      </c>
    </row>
    <row r="10" spans="1:13" ht="14.5" x14ac:dyDescent="0.35">
      <c r="A10" s="10"/>
      <c r="B10" s="93"/>
      <c r="C10" s="12"/>
      <c r="D10" s="98"/>
      <c r="F10" s="10">
        <v>44528</v>
      </c>
      <c r="G10" s="93">
        <v>10</v>
      </c>
      <c r="H10" s="51">
        <v>50989163</v>
      </c>
      <c r="I10" s="51">
        <v>7510000</v>
      </c>
      <c r="J10" s="45"/>
      <c r="K10" s="49">
        <f t="shared" si="0"/>
        <v>10</v>
      </c>
      <c r="L10" s="38">
        <f t="shared" si="0"/>
        <v>50989163</v>
      </c>
      <c r="M10" s="38">
        <f t="shared" si="1"/>
        <v>-7510000</v>
      </c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70</v>
      </c>
      <c r="C12" s="39">
        <f>SUM(C3:C11)</f>
        <v>361735611.38</v>
      </c>
      <c r="D12" s="54">
        <f>SUM(D3:D11)</f>
        <v>61000000</v>
      </c>
      <c r="F12" s="52" t="s">
        <v>66</v>
      </c>
      <c r="G12" s="52">
        <f>SUM(G3:G11)</f>
        <v>77</v>
      </c>
      <c r="H12" s="39">
        <f>SUM(H3:H11)</f>
        <v>465932593.51999998</v>
      </c>
      <c r="I12" s="39">
        <f>SUM(I3:I11)</f>
        <v>71580000</v>
      </c>
      <c r="J12" s="46"/>
      <c r="K12" s="14">
        <f>G12-B12</f>
        <v>7</v>
      </c>
      <c r="L12" s="39">
        <f>SUM(L3:L11)</f>
        <v>104196982.14</v>
      </c>
      <c r="M12" s="39">
        <f>SUM(M3:M11)</f>
        <v>-10580000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>
        <f>SUM(B3:B11)/COUNT(B3:B11)</f>
        <v>10</v>
      </c>
      <c r="C14" s="63">
        <f>SUM(C3:C11)/COUNT(C3:C11)</f>
        <v>51676515.911428571</v>
      </c>
      <c r="D14" s="63">
        <f>SUM(D3:D11)/COUNT(D3:D11)</f>
        <v>8714285.7142857146</v>
      </c>
      <c r="F14" s="59"/>
      <c r="G14" s="60">
        <f>SUM(G3:G11)/COUNT(G3:G11)</f>
        <v>9.625</v>
      </c>
      <c r="H14" s="61">
        <f>SUM(H3:H11)/COUNT(H3:H11)</f>
        <v>58241574.189999998</v>
      </c>
      <c r="I14" s="61">
        <f>SUM(I3:I11)/COUNT(I3:I11)</f>
        <v>8947500</v>
      </c>
      <c r="J14" s="48"/>
      <c r="K14" s="62">
        <f>SUM(K3:K11)/COUNT(K3:K11)</f>
        <v>0.875</v>
      </c>
      <c r="L14" s="63">
        <f>SUM(L3:L11)/COUNT(L3:L11)</f>
        <v>13024622.7675</v>
      </c>
      <c r="M14" s="63">
        <f>SUM(M3:M11)/COUNT(M3:M11)</f>
        <v>-1322500</v>
      </c>
    </row>
    <row r="15" spans="1:13" x14ac:dyDescent="0.3">
      <c r="A15" s="83"/>
      <c r="B15" s="84"/>
      <c r="C15" s="85"/>
      <c r="D15" s="85"/>
      <c r="F15" s="83"/>
      <c r="G15" s="84"/>
      <c r="H15" s="85">
        <f>H12/G12</f>
        <v>6051072.643116883</v>
      </c>
      <c r="I15" s="85"/>
      <c r="J15" s="48"/>
      <c r="K15" s="84"/>
      <c r="L15" s="85"/>
      <c r="M15" s="85"/>
    </row>
    <row r="16" spans="1:13" x14ac:dyDescent="0.3">
      <c r="A16" s="83"/>
      <c r="B16" s="84"/>
      <c r="C16" s="85"/>
      <c r="D16" s="85"/>
      <c r="F16" s="83"/>
      <c r="G16" s="84"/>
      <c r="H16" s="85"/>
      <c r="I16" s="85"/>
      <c r="J16" s="48"/>
      <c r="K16" s="84"/>
      <c r="L16" s="85"/>
      <c r="M16" s="85"/>
    </row>
    <row r="17" spans="1:13" x14ac:dyDescent="0.3">
      <c r="A17" s="83"/>
      <c r="B17" s="84"/>
      <c r="C17" s="85"/>
      <c r="D17" s="85"/>
      <c r="F17" s="83"/>
      <c r="G17" s="84"/>
      <c r="H17" s="85"/>
      <c r="I17" s="85"/>
      <c r="J17" s="48"/>
      <c r="K17" s="84"/>
      <c r="L17" s="85"/>
      <c r="M17" s="85"/>
    </row>
    <row r="18" spans="1:13" x14ac:dyDescent="0.3">
      <c r="H18" s="78"/>
    </row>
    <row r="19" spans="1:13" x14ac:dyDescent="0.3">
      <c r="A19" s="34" t="s">
        <v>71</v>
      </c>
    </row>
    <row r="20" spans="1:13" ht="29.5" thickBot="1" x14ac:dyDescent="0.4">
      <c r="A20" s="76" t="s">
        <v>70</v>
      </c>
      <c r="B20" s="76" t="s">
        <v>69</v>
      </c>
      <c r="C20" s="76" t="s">
        <v>65</v>
      </c>
      <c r="D20" s="76"/>
      <c r="F20" s="76" t="s">
        <v>70</v>
      </c>
      <c r="G20" s="76" t="s">
        <v>69</v>
      </c>
      <c r="H20" s="76" t="s">
        <v>65</v>
      </c>
      <c r="I20" s="76" t="s">
        <v>74</v>
      </c>
      <c r="J20" s="77"/>
      <c r="K20" s="66" t="s">
        <v>78</v>
      </c>
      <c r="L20" s="67" t="s">
        <v>76</v>
      </c>
      <c r="M20" s="67" t="s">
        <v>77</v>
      </c>
    </row>
    <row r="21" spans="1:13" x14ac:dyDescent="0.3">
      <c r="A21" s="73">
        <v>44142</v>
      </c>
      <c r="B21" s="68">
        <v>7</v>
      </c>
      <c r="C21" s="74">
        <v>74056687.819999993</v>
      </c>
      <c r="D21" s="74"/>
      <c r="F21" s="73">
        <v>44506</v>
      </c>
      <c r="G21" s="68">
        <v>6</v>
      </c>
      <c r="H21" s="74">
        <v>62880944.490000002</v>
      </c>
      <c r="I21" s="69"/>
      <c r="J21" s="45"/>
      <c r="K21" s="68">
        <f t="shared" ref="K21:L25" si="2">G21-B21</f>
        <v>-1</v>
      </c>
      <c r="L21" s="69">
        <f>H21-C21</f>
        <v>-11175743.329999991</v>
      </c>
      <c r="M21" s="69"/>
    </row>
    <row r="22" spans="1:13" x14ac:dyDescent="0.3">
      <c r="A22" s="73">
        <v>44149</v>
      </c>
      <c r="B22" s="68">
        <v>7</v>
      </c>
      <c r="C22" s="74">
        <v>64352483.68</v>
      </c>
      <c r="D22" s="74"/>
      <c r="F22" s="73">
        <v>44513</v>
      </c>
      <c r="G22" s="68">
        <v>7</v>
      </c>
      <c r="H22" s="74">
        <v>74675353.329999998</v>
      </c>
      <c r="I22" s="69"/>
      <c r="J22" s="45"/>
      <c r="K22" s="68">
        <f t="shared" si="2"/>
        <v>0</v>
      </c>
      <c r="L22" s="69">
        <f>H22-C22</f>
        <v>10322869.649999999</v>
      </c>
      <c r="M22" s="69"/>
    </row>
    <row r="23" spans="1:13" x14ac:dyDescent="0.3">
      <c r="A23" s="73">
        <v>44156</v>
      </c>
      <c r="B23" s="68">
        <v>7</v>
      </c>
      <c r="C23" s="74">
        <v>65264851.299999997</v>
      </c>
      <c r="D23" s="74"/>
      <c r="F23" s="73">
        <v>44520</v>
      </c>
      <c r="G23" s="68">
        <v>7</v>
      </c>
      <c r="H23" s="74">
        <f>56897439.5+16241942.78</f>
        <v>73139382.280000001</v>
      </c>
      <c r="I23" s="69"/>
      <c r="J23" s="45"/>
      <c r="K23" s="68">
        <f t="shared" si="2"/>
        <v>0</v>
      </c>
      <c r="L23" s="69">
        <f>H23-C23</f>
        <v>7874530.9800000042</v>
      </c>
      <c r="M23" s="69"/>
    </row>
    <row r="24" spans="1:13" x14ac:dyDescent="0.3">
      <c r="A24" s="73">
        <v>44163</v>
      </c>
      <c r="B24" s="68">
        <v>7</v>
      </c>
      <c r="C24" s="74">
        <v>69994307.650000006</v>
      </c>
      <c r="D24" s="74"/>
      <c r="F24" s="73">
        <v>44527</v>
      </c>
      <c r="G24" s="68">
        <v>7</v>
      </c>
      <c r="H24" s="51">
        <f>202894047.81-125500674.77</f>
        <v>77393373.040000007</v>
      </c>
      <c r="I24" s="69"/>
      <c r="J24" s="45"/>
      <c r="K24" s="68">
        <f t="shared" si="2"/>
        <v>0</v>
      </c>
      <c r="L24" s="69">
        <f t="shared" si="2"/>
        <v>7399065.3900000006</v>
      </c>
      <c r="M24" s="69"/>
    </row>
    <row r="25" spans="1:13" x14ac:dyDescent="0.3">
      <c r="A25" s="73">
        <v>44165</v>
      </c>
      <c r="B25" s="68">
        <v>2</v>
      </c>
      <c r="C25" s="74">
        <f>11000000+6500000</f>
        <v>17500000</v>
      </c>
      <c r="D25" s="74"/>
      <c r="F25" s="104">
        <v>44530</v>
      </c>
      <c r="G25" s="105">
        <v>3</v>
      </c>
      <c r="H25" s="106">
        <f>14891365.59+7189066.86+7863396.68</f>
        <v>29943829.129999999</v>
      </c>
      <c r="I25" s="69"/>
      <c r="J25" s="45"/>
      <c r="K25" s="68">
        <f t="shared" si="2"/>
        <v>1</v>
      </c>
      <c r="L25" s="69">
        <f t="shared" si="2"/>
        <v>12443829.129999999</v>
      </c>
      <c r="M25" s="69"/>
    </row>
    <row r="26" spans="1:13" x14ac:dyDescent="0.3">
      <c r="A26" s="73"/>
      <c r="B26" s="68"/>
      <c r="C26" s="74"/>
      <c r="D26" s="74"/>
      <c r="F26" s="73"/>
      <c r="G26" s="68"/>
      <c r="H26" s="74"/>
      <c r="I26" s="69"/>
      <c r="J26" s="45"/>
      <c r="K26" s="68"/>
      <c r="L26" s="69"/>
      <c r="M26" s="69"/>
    </row>
    <row r="27" spans="1:13" ht="14.5" x14ac:dyDescent="0.35">
      <c r="A27" s="73"/>
      <c r="B27" s="68"/>
      <c r="C27" s="87"/>
      <c r="D27" s="74"/>
      <c r="F27" s="73"/>
      <c r="G27" s="68"/>
      <c r="H27" s="100"/>
      <c r="I27" s="69"/>
      <c r="J27" s="45"/>
      <c r="K27" s="68"/>
      <c r="L27" s="69"/>
      <c r="M27" s="69"/>
    </row>
    <row r="28" spans="1:13" ht="13.5" thickBot="1" x14ac:dyDescent="0.35">
      <c r="A28" s="75" t="s">
        <v>66</v>
      </c>
      <c r="B28" s="75">
        <f>SUM(B21:B26)</f>
        <v>30</v>
      </c>
      <c r="C28" s="88">
        <f>SUM(C21:C26)</f>
        <v>291168330.45000005</v>
      </c>
      <c r="D28" s="70"/>
      <c r="F28" s="75" t="s">
        <v>66</v>
      </c>
      <c r="G28" s="75">
        <f>SUM(G21:G27)</f>
        <v>30</v>
      </c>
      <c r="H28" s="70">
        <f>SUM(H21:H27)</f>
        <v>318032882.26999998</v>
      </c>
      <c r="I28" s="70"/>
      <c r="J28" s="46"/>
      <c r="K28" s="68">
        <f>SUM(K21:K27)</f>
        <v>0</v>
      </c>
      <c r="L28" s="70">
        <f>SUM(L21:L27)</f>
        <v>26864551.820000011</v>
      </c>
      <c r="M28" s="70"/>
    </row>
    <row r="29" spans="1:13" ht="13.5" thickTop="1" x14ac:dyDescent="0.3">
      <c r="A29" s="68"/>
      <c r="B29" s="68"/>
      <c r="C29" s="74"/>
      <c r="D29" s="74"/>
      <c r="F29" s="68"/>
      <c r="G29" s="68"/>
      <c r="H29" s="68"/>
      <c r="I29" s="68"/>
      <c r="K29" s="68"/>
      <c r="L29" s="68"/>
      <c r="M29" s="68"/>
    </row>
    <row r="30" spans="1:13" ht="13.5" thickBot="1" x14ac:dyDescent="0.35">
      <c r="A30" s="71" t="s">
        <v>67</v>
      </c>
      <c r="B30" s="71"/>
      <c r="C30" s="72">
        <f>C12+C28</f>
        <v>652903941.83000004</v>
      </c>
      <c r="D30" s="72"/>
      <c r="E30" s="41"/>
      <c r="F30" s="71" t="s">
        <v>67</v>
      </c>
      <c r="G30" s="71"/>
      <c r="H30" s="72">
        <f>H28+H12</f>
        <v>783965475.78999996</v>
      </c>
      <c r="I30" s="72"/>
      <c r="J30" s="46"/>
      <c r="K30" s="71"/>
      <c r="L30" s="72">
        <f>L28+L12</f>
        <v>131061533.96000001</v>
      </c>
      <c r="M30" s="72"/>
    </row>
    <row r="31" spans="1:13" ht="13.5" thickTop="1" x14ac:dyDescent="0.3"/>
    <row r="32" spans="1:13" x14ac:dyDescent="0.3">
      <c r="C32" s="78"/>
    </row>
    <row r="33" spans="1:13" x14ac:dyDescent="0.3">
      <c r="H33" s="78"/>
      <c r="I33" s="78"/>
    </row>
    <row r="35" spans="1:13" x14ac:dyDescent="0.3">
      <c r="H35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3">F3</f>
        <v>44506</v>
      </c>
      <c r="G38" s="49">
        <f t="shared" si="3"/>
        <v>10</v>
      </c>
      <c r="H38" s="51">
        <f t="shared" si="3"/>
        <v>59784611.780000001</v>
      </c>
      <c r="I38" s="51">
        <f t="shared" si="3"/>
        <v>7660000</v>
      </c>
      <c r="J38" s="45"/>
      <c r="K38" s="49">
        <f t="shared" ref="K38:L44" si="4">G38-B38</f>
        <v>0</v>
      </c>
      <c r="L38" s="38">
        <f t="shared" si="4"/>
        <v>10677129.68</v>
      </c>
      <c r="M38" s="38">
        <f>D38-I38</f>
        <v>40000</v>
      </c>
    </row>
    <row r="39" spans="1:13" x14ac:dyDescent="0.3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3"/>
        <v>44507</v>
      </c>
      <c r="G39" s="49">
        <f t="shared" si="3"/>
        <v>9</v>
      </c>
      <c r="H39" s="51">
        <f t="shared" si="3"/>
        <v>47386731.039999999</v>
      </c>
      <c r="I39" s="51">
        <f t="shared" si="3"/>
        <v>6580000</v>
      </c>
      <c r="J39" s="45"/>
      <c r="K39" s="49">
        <f t="shared" si="4"/>
        <v>-1</v>
      </c>
      <c r="L39" s="38">
        <f t="shared" si="4"/>
        <v>4871024.82</v>
      </c>
      <c r="M39" s="38">
        <f t="shared" ref="M39:M44" si="5">D39-I39</f>
        <v>1230000</v>
      </c>
    </row>
    <row r="40" spans="1:13" x14ac:dyDescent="0.3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3"/>
        <v>44513</v>
      </c>
      <c r="G40" s="49">
        <f t="shared" si="3"/>
        <v>10</v>
      </c>
      <c r="H40" s="51">
        <f t="shared" si="3"/>
        <v>72167891</v>
      </c>
      <c r="I40" s="51">
        <f t="shared" si="3"/>
        <v>17750000</v>
      </c>
      <c r="J40" s="45"/>
      <c r="K40" s="49">
        <f t="shared" si="4"/>
        <v>0</v>
      </c>
      <c r="L40" s="38">
        <f t="shared" si="4"/>
        <v>26919886.359999999</v>
      </c>
      <c r="M40" s="38">
        <f t="shared" si="5"/>
        <v>-10420000</v>
      </c>
    </row>
    <row r="41" spans="1:13" x14ac:dyDescent="0.3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3"/>
        <v>44515</v>
      </c>
      <c r="G41" s="49">
        <f t="shared" si="3"/>
        <v>9</v>
      </c>
      <c r="H41" s="51">
        <f t="shared" si="3"/>
        <v>45968045.700000003</v>
      </c>
      <c r="I41" s="51">
        <f t="shared" si="3"/>
        <v>6550000</v>
      </c>
      <c r="J41" s="45"/>
      <c r="K41" s="49">
        <f t="shared" si="4"/>
        <v>-1</v>
      </c>
      <c r="L41" s="38">
        <f t="shared" si="4"/>
        <v>-2507332.8699999973</v>
      </c>
      <c r="M41" s="38">
        <f t="shared" si="5"/>
        <v>1130000</v>
      </c>
    </row>
    <row r="42" spans="1:13" x14ac:dyDescent="0.3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3"/>
        <v>44520</v>
      </c>
      <c r="G42" s="49">
        <f t="shared" si="3"/>
        <v>10</v>
      </c>
      <c r="H42" s="51">
        <f t="shared" si="3"/>
        <v>64135477</v>
      </c>
      <c r="I42" s="51">
        <f t="shared" si="3"/>
        <v>8160000</v>
      </c>
      <c r="J42" s="45"/>
      <c r="K42" s="49">
        <f t="shared" si="4"/>
        <v>0</v>
      </c>
      <c r="L42" s="38">
        <f t="shared" si="4"/>
        <v>13887670.609999999</v>
      </c>
      <c r="M42" s="38">
        <f t="shared" si="5"/>
        <v>-920000</v>
      </c>
    </row>
    <row r="43" spans="1:13" x14ac:dyDescent="0.3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3"/>
        <v>44521</v>
      </c>
      <c r="G43" s="49">
        <f t="shared" si="3"/>
        <v>9</v>
      </c>
      <c r="H43" s="51">
        <f t="shared" si="3"/>
        <v>49666549</v>
      </c>
      <c r="I43" s="51">
        <f t="shared" si="3"/>
        <v>6360000</v>
      </c>
      <c r="J43" s="45"/>
      <c r="K43" s="49">
        <f t="shared" si="4"/>
        <v>-3</v>
      </c>
      <c r="L43" s="38">
        <f t="shared" si="4"/>
        <v>-13066477.039999999</v>
      </c>
      <c r="M43" s="38">
        <f t="shared" si="5"/>
        <v>11590000</v>
      </c>
    </row>
    <row r="44" spans="1:13" x14ac:dyDescent="0.3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3"/>
        <v>44527</v>
      </c>
      <c r="G44" s="49">
        <f t="shared" si="3"/>
        <v>10</v>
      </c>
      <c r="H44" s="51">
        <f t="shared" si="3"/>
        <v>75834125</v>
      </c>
      <c r="I44" s="51">
        <f t="shared" si="3"/>
        <v>11010000</v>
      </c>
      <c r="J44" s="45"/>
      <c r="K44" s="49">
        <f t="shared" si="4"/>
        <v>0</v>
      </c>
      <c r="L44" s="38">
        <f t="shared" si="4"/>
        <v>33054808.229999997</v>
      </c>
      <c r="M44" s="38">
        <f t="shared" si="5"/>
        <v>-2880000</v>
      </c>
    </row>
    <row r="45" spans="1:13" x14ac:dyDescent="0.3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" thickBot="1" x14ac:dyDescent="0.4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67</v>
      </c>
      <c r="H46" s="39">
        <f>SUM(H38:H45)</f>
        <v>414943430.51999998</v>
      </c>
      <c r="I46" s="39">
        <f>SUM(I38:I45)</f>
        <v>64070000</v>
      </c>
      <c r="J46" s="46"/>
      <c r="K46" s="14">
        <f>G46-B46</f>
        <v>-5</v>
      </c>
      <c r="L46" s="39">
        <f>SUM(L38:L45)</f>
        <v>73836709.789999992</v>
      </c>
      <c r="M46" s="39">
        <f>SUM(M38:M45)</f>
        <v>-230000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9.5714285714285712</v>
      </c>
      <c r="H48" s="61">
        <f>SUM(H38:H45)/COUNT(H38:H45)</f>
        <v>59277632.931428567</v>
      </c>
      <c r="I48" s="61">
        <f>SUM(I38:I45)/COUNT(I38:I45)</f>
        <v>9152857.1428571437</v>
      </c>
      <c r="J48" s="48"/>
      <c r="K48" s="62">
        <f>SUM(K38:K45)/COUNT(K38:K45)</f>
        <v>-0.7142857142857143</v>
      </c>
      <c r="L48" s="63">
        <f>SUM(L38:L45)/COUNT(L38:L45)</f>
        <v>10548101.398571428</v>
      </c>
      <c r="M48" s="63">
        <f>SUM(M38:M45)/COUNT(M38:M45)</f>
        <v>-32857.142857142855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H21</f>
        <v>62880944.490000002</v>
      </c>
      <c r="I52" s="69"/>
      <c r="J52" s="45"/>
      <c r="K52" s="68">
        <f>G52-B52</f>
        <v>4</v>
      </c>
      <c r="L52" s="69">
        <f>H52-C52</f>
        <v>48549772.150000006</v>
      </c>
      <c r="M52" s="69"/>
    </row>
    <row r="53" spans="1:13" x14ac:dyDescent="0.3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H22</f>
        <v>74675353.329999998</v>
      </c>
      <c r="I53" s="69"/>
      <c r="J53" s="45"/>
      <c r="K53" s="68">
        <f t="shared" ref="K53:L57" si="6">G53-B53</f>
        <v>0</v>
      </c>
      <c r="L53" s="69">
        <f t="shared" si="6"/>
        <v>6871313.1799999923</v>
      </c>
      <c r="M53" s="69"/>
    </row>
    <row r="54" spans="1:13" x14ac:dyDescent="0.3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H23</f>
        <v>73139382.280000001</v>
      </c>
      <c r="I54" s="69"/>
      <c r="J54" s="45"/>
      <c r="K54" s="68">
        <f t="shared" si="6"/>
        <v>0</v>
      </c>
      <c r="L54" s="69">
        <f t="shared" si="6"/>
        <v>9415550.9600000009</v>
      </c>
      <c r="M54" s="69"/>
    </row>
    <row r="55" spans="1:13" x14ac:dyDescent="0.3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H24</f>
        <v>77393373.040000007</v>
      </c>
      <c r="I55" s="69"/>
      <c r="J55" s="45"/>
      <c r="K55" s="68">
        <f t="shared" si="6"/>
        <v>0</v>
      </c>
      <c r="L55" s="69">
        <f t="shared" si="6"/>
        <v>13806312.88000001</v>
      </c>
      <c r="M55" s="69"/>
    </row>
    <row r="56" spans="1:13" x14ac:dyDescent="0.3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H25</f>
        <v>29943829.129999999</v>
      </c>
      <c r="I56" s="69"/>
      <c r="J56" s="45"/>
      <c r="K56" s="68">
        <f t="shared" si="6"/>
        <v>-3</v>
      </c>
      <c r="L56" s="69">
        <f t="shared" si="6"/>
        <v>-30970622.290000003</v>
      </c>
      <c r="M56" s="69"/>
    </row>
    <row r="57" spans="1:13" x14ac:dyDescent="0.3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6"/>
        <v>-9236562.7899999991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318032882.26999998</v>
      </c>
      <c r="I59" s="70"/>
      <c r="J59" s="46"/>
      <c r="K59" s="68">
        <f>SUM(K52:K58)</f>
        <v>1</v>
      </c>
      <c r="L59" s="70">
        <f>SUM(L52:L58)</f>
        <v>38435764.090000011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732976312.78999996</v>
      </c>
      <c r="I61" s="72"/>
      <c r="J61" s="46"/>
      <c r="K61" s="71"/>
      <c r="L61" s="72">
        <f>L59+L46</f>
        <v>112272473.88</v>
      </c>
      <c r="M61" s="72"/>
    </row>
    <row r="62" spans="1:13" ht="13.5" thickTop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0CAE-A170-4A1B-A205-F11711C958A7}">
  <dimension ref="A1:I27"/>
  <sheetViews>
    <sheetView topLeftCell="A4" workbookViewId="0">
      <selection activeCell="K11" sqref="K11"/>
    </sheetView>
  </sheetViews>
  <sheetFormatPr defaultRowHeight="14.5" x14ac:dyDescent="0.35"/>
  <cols>
    <col min="1" max="1" width="22.7265625" bestFit="1" customWidth="1"/>
    <col min="2" max="2" width="7.453125" customWidth="1"/>
    <col min="3" max="3" width="15.90625" bestFit="1" customWidth="1"/>
    <col min="4" max="4" width="4.36328125" customWidth="1"/>
    <col min="5" max="5" width="22.81640625" bestFit="1" customWidth="1"/>
    <col min="6" max="6" width="7.54296875" customWidth="1"/>
    <col min="7" max="7" width="15.90625" bestFit="1" customWidth="1"/>
    <col min="8" max="8" width="4.90625" customWidth="1"/>
    <col min="9" max="9" width="15.81640625" bestFit="1" customWidth="1"/>
    <col min="10" max="10" width="4.54296875" customWidth="1"/>
  </cols>
  <sheetData>
    <row r="1" spans="1:9" x14ac:dyDescent="0.35">
      <c r="A1" s="33" t="s">
        <v>73</v>
      </c>
    </row>
    <row r="2" spans="1:9" s="6" customFormat="1" ht="34.5" thickBot="1" x14ac:dyDescent="0.45">
      <c r="A2" s="7" t="s">
        <v>63</v>
      </c>
      <c r="B2" s="8" t="s">
        <v>64</v>
      </c>
      <c r="C2" s="9" t="s">
        <v>65</v>
      </c>
      <c r="E2" s="7" t="s">
        <v>63</v>
      </c>
      <c r="F2" s="8" t="s">
        <v>64</v>
      </c>
      <c r="G2" s="9" t="s">
        <v>65</v>
      </c>
      <c r="I2" s="18" t="s">
        <v>68</v>
      </c>
    </row>
    <row r="3" spans="1:9" ht="15" thickTop="1" x14ac:dyDescent="0.35">
      <c r="A3" s="10">
        <v>43652</v>
      </c>
      <c r="B3" s="11">
        <v>10</v>
      </c>
      <c r="C3" s="12">
        <v>47722138.159999996</v>
      </c>
      <c r="E3" s="10">
        <v>44016</v>
      </c>
      <c r="F3" s="11">
        <v>11</v>
      </c>
      <c r="G3" s="12">
        <v>52978426.649999999</v>
      </c>
      <c r="H3">
        <f>F3-B3</f>
        <v>1</v>
      </c>
      <c r="I3" s="19">
        <f>G3-C3</f>
        <v>5256288.4900000021</v>
      </c>
    </row>
    <row r="4" spans="1:9" x14ac:dyDescent="0.35">
      <c r="A4" s="10">
        <v>43656</v>
      </c>
      <c r="B4" s="11">
        <v>10</v>
      </c>
      <c r="C4" s="12">
        <v>41904996.369999997</v>
      </c>
      <c r="E4" s="10">
        <v>44017</v>
      </c>
      <c r="F4" s="11">
        <v>10</v>
      </c>
      <c r="G4" s="12">
        <v>39363504</v>
      </c>
      <c r="H4">
        <f t="shared" ref="H4:I11" si="0">F4-B4</f>
        <v>0</v>
      </c>
      <c r="I4" s="19">
        <f t="shared" si="0"/>
        <v>-2541492.3699999973</v>
      </c>
    </row>
    <row r="5" spans="1:9" x14ac:dyDescent="0.35">
      <c r="A5" s="10">
        <v>43659</v>
      </c>
      <c r="B5" s="11">
        <v>9</v>
      </c>
      <c r="C5" s="12">
        <v>37003437.799999997</v>
      </c>
      <c r="E5" s="10">
        <v>44023</v>
      </c>
      <c r="F5" s="11">
        <v>11</v>
      </c>
      <c r="G5" s="12">
        <v>50209662.439999998</v>
      </c>
      <c r="H5">
        <f t="shared" si="0"/>
        <v>2</v>
      </c>
      <c r="I5" s="19">
        <f>G5-C5</f>
        <v>13206224.640000001</v>
      </c>
    </row>
    <row r="6" spans="1:9" x14ac:dyDescent="0.35">
      <c r="A6" s="10">
        <v>43663</v>
      </c>
      <c r="B6" s="11">
        <v>10</v>
      </c>
      <c r="C6" s="12">
        <v>37932705.700000003</v>
      </c>
      <c r="E6" s="10">
        <v>44024</v>
      </c>
      <c r="F6" s="11">
        <v>9</v>
      </c>
      <c r="G6" s="12">
        <v>33587476.840000004</v>
      </c>
      <c r="H6">
        <f t="shared" si="0"/>
        <v>-1</v>
      </c>
      <c r="I6" s="19">
        <f t="shared" si="0"/>
        <v>-4345228.8599999994</v>
      </c>
    </row>
    <row r="7" spans="1:9" x14ac:dyDescent="0.35">
      <c r="A7" s="10">
        <v>43666</v>
      </c>
      <c r="B7" s="11">
        <v>10</v>
      </c>
      <c r="C7" s="12">
        <v>45752761.789999999</v>
      </c>
      <c r="E7" s="10">
        <v>44030</v>
      </c>
      <c r="F7" s="11">
        <v>10</v>
      </c>
      <c r="G7" s="12">
        <v>51082647.329999998</v>
      </c>
      <c r="H7">
        <f t="shared" si="0"/>
        <v>0</v>
      </c>
      <c r="I7" s="19">
        <f t="shared" si="0"/>
        <v>5329885.5399999991</v>
      </c>
    </row>
    <row r="8" spans="1:9" x14ac:dyDescent="0.35">
      <c r="A8" s="10">
        <v>43673</v>
      </c>
      <c r="B8" s="11">
        <v>12</v>
      </c>
      <c r="C8" s="12">
        <v>58687071.359999999</v>
      </c>
      <c r="E8" s="10">
        <v>44037</v>
      </c>
      <c r="F8" s="11">
        <v>11</v>
      </c>
      <c r="G8" s="12">
        <v>57477070.289999999</v>
      </c>
      <c r="H8">
        <f t="shared" si="0"/>
        <v>-1</v>
      </c>
      <c r="I8" s="19">
        <f t="shared" si="0"/>
        <v>-1210001.0700000003</v>
      </c>
    </row>
    <row r="9" spans="1:9" x14ac:dyDescent="0.35">
      <c r="A9" s="10"/>
      <c r="B9" s="11"/>
      <c r="C9" s="12"/>
      <c r="E9" s="10">
        <v>44038</v>
      </c>
      <c r="F9" s="11">
        <v>10</v>
      </c>
      <c r="G9" s="12">
        <v>47841720.43</v>
      </c>
      <c r="H9">
        <f t="shared" si="0"/>
        <v>10</v>
      </c>
      <c r="I9" s="19">
        <f t="shared" si="0"/>
        <v>47841720.43</v>
      </c>
    </row>
    <row r="10" spans="1:9" x14ac:dyDescent="0.35">
      <c r="A10" s="10"/>
      <c r="B10" s="11"/>
      <c r="C10" s="12"/>
      <c r="E10" s="10"/>
      <c r="F10" s="11"/>
      <c r="G10" s="12"/>
      <c r="H10">
        <f t="shared" si="0"/>
        <v>0</v>
      </c>
      <c r="I10" s="19">
        <f t="shared" si="0"/>
        <v>0</v>
      </c>
    </row>
    <row r="11" spans="1:9" ht="15" thickBot="1" x14ac:dyDescent="0.4">
      <c r="A11" s="13" t="s">
        <v>66</v>
      </c>
      <c r="B11" s="14">
        <f>SUM(B3:B10)</f>
        <v>61</v>
      </c>
      <c r="C11" s="15">
        <f>SUM(C3:C10)</f>
        <v>269003111.18000001</v>
      </c>
      <c r="E11" s="13" t="s">
        <v>66</v>
      </c>
      <c r="F11" s="14">
        <f>SUM(F3:F10)</f>
        <v>72</v>
      </c>
      <c r="G11" s="15">
        <f>SUM(G3:G10)</f>
        <v>332540507.98000002</v>
      </c>
      <c r="H11">
        <f t="shared" si="0"/>
        <v>11</v>
      </c>
      <c r="I11" s="20">
        <f>SUM(I3:I10)</f>
        <v>63537396.800000004</v>
      </c>
    </row>
    <row r="12" spans="1:9" ht="15" thickTop="1" x14ac:dyDescent="0.35">
      <c r="A12" s="16"/>
      <c r="C12" s="17"/>
      <c r="E12" s="16"/>
      <c r="G12" s="17"/>
      <c r="I12" s="21"/>
    </row>
    <row r="13" spans="1:9" x14ac:dyDescent="0.35">
      <c r="A13" s="30" t="s">
        <v>72</v>
      </c>
      <c r="B13" s="31">
        <f>SUM(B3:B10)/COUNT(B3:B10)</f>
        <v>10.166666666666666</v>
      </c>
      <c r="C13" s="32">
        <f>SUM(C3:C10)/COUNT(C3:C10)</f>
        <v>44833851.863333337</v>
      </c>
      <c r="E13" s="30"/>
      <c r="F13" s="31">
        <f>SUM(F3:F10)/COUNT(F3:F10)</f>
        <v>10.285714285714286</v>
      </c>
      <c r="G13" s="32">
        <f>SUM(G3:G10)/COUNT(G3:G10)</f>
        <v>47505786.854285717</v>
      </c>
      <c r="H13" s="31">
        <f>SUM(H3:H10)/COUNT(H3:H10)</f>
        <v>1.375</v>
      </c>
      <c r="I13" s="32">
        <f>SUM(I3:I10)/COUNT(I3:I10)</f>
        <v>7942174.6000000006</v>
      </c>
    </row>
    <row r="15" spans="1:9" x14ac:dyDescent="0.35">
      <c r="A15" s="33" t="s">
        <v>71</v>
      </c>
    </row>
    <row r="16" spans="1:9" ht="15" thickBot="1" x14ac:dyDescent="0.4">
      <c r="A16" s="25" t="s">
        <v>70</v>
      </c>
      <c r="B16" s="25" t="s">
        <v>69</v>
      </c>
      <c r="C16" s="25" t="s">
        <v>65</v>
      </c>
      <c r="E16" s="25" t="s">
        <v>70</v>
      </c>
      <c r="F16" s="25" t="s">
        <v>69</v>
      </c>
      <c r="G16" s="25" t="s">
        <v>65</v>
      </c>
      <c r="H16" s="25"/>
      <c r="I16" s="27" t="s">
        <v>68</v>
      </c>
    </row>
    <row r="17" spans="1:9" x14ac:dyDescent="0.35">
      <c r="A17" s="23">
        <v>43652</v>
      </c>
      <c r="B17">
        <v>6</v>
      </c>
      <c r="C17" s="22">
        <v>55674437.909999996</v>
      </c>
      <c r="E17" s="23">
        <v>44013</v>
      </c>
      <c r="F17">
        <v>4</v>
      </c>
      <c r="G17" s="22">
        <v>32054431.98</v>
      </c>
      <c r="H17">
        <f>F17-B17</f>
        <v>-2</v>
      </c>
      <c r="I17" s="26">
        <f>G17-C17</f>
        <v>-23620005.929999996</v>
      </c>
    </row>
    <row r="18" spans="1:9" x14ac:dyDescent="0.35">
      <c r="A18" s="23">
        <v>43659</v>
      </c>
      <c r="B18">
        <v>7</v>
      </c>
      <c r="C18" s="22">
        <v>61681695.460000001</v>
      </c>
      <c r="E18" s="23">
        <v>44023</v>
      </c>
      <c r="F18">
        <v>7</v>
      </c>
      <c r="G18" s="22">
        <v>48639694.200000003</v>
      </c>
      <c r="H18">
        <f t="shared" ref="H18:I21" si="1">F18-B18</f>
        <v>0</v>
      </c>
      <c r="I18" s="26">
        <f t="shared" si="1"/>
        <v>-13042001.259999998</v>
      </c>
    </row>
    <row r="19" spans="1:9" x14ac:dyDescent="0.35">
      <c r="A19" s="23">
        <v>43666</v>
      </c>
      <c r="B19">
        <v>7</v>
      </c>
      <c r="C19" s="22">
        <v>64108614.060000002</v>
      </c>
      <c r="E19" s="23">
        <v>44030</v>
      </c>
      <c r="F19">
        <v>7</v>
      </c>
      <c r="G19" s="22">
        <v>49446140.659999996</v>
      </c>
      <c r="H19">
        <f t="shared" si="1"/>
        <v>0</v>
      </c>
      <c r="I19" s="26">
        <f t="shared" si="1"/>
        <v>-14662473.400000006</v>
      </c>
    </row>
    <row r="20" spans="1:9" x14ac:dyDescent="0.35">
      <c r="A20" s="23">
        <v>43673</v>
      </c>
      <c r="B20">
        <v>7</v>
      </c>
      <c r="C20" s="22">
        <v>68354827.620000005</v>
      </c>
      <c r="E20" s="23">
        <v>44037</v>
      </c>
      <c r="F20">
        <v>7</v>
      </c>
      <c r="G20" s="22">
        <v>62056999.539999999</v>
      </c>
      <c r="H20">
        <f t="shared" si="1"/>
        <v>0</v>
      </c>
      <c r="I20" s="26">
        <f t="shared" si="1"/>
        <v>-6297828.0800000057</v>
      </c>
    </row>
    <row r="21" spans="1:9" x14ac:dyDescent="0.35">
      <c r="A21" s="23">
        <v>43677</v>
      </c>
      <c r="B21">
        <v>4</v>
      </c>
      <c r="C21" s="22">
        <v>33285584.280000001</v>
      </c>
      <c r="E21" s="23">
        <v>44043</v>
      </c>
      <c r="F21">
        <v>6</v>
      </c>
      <c r="G21" s="22">
        <v>59208620.840000004</v>
      </c>
      <c r="H21">
        <f t="shared" si="1"/>
        <v>2</v>
      </c>
      <c r="I21" s="26">
        <f t="shared" si="1"/>
        <v>25923036.560000002</v>
      </c>
    </row>
    <row r="22" spans="1:9" x14ac:dyDescent="0.35">
      <c r="A22" s="23"/>
      <c r="C22" s="22"/>
      <c r="E22" s="23"/>
      <c r="G22" s="22"/>
      <c r="I22" s="26"/>
    </row>
    <row r="23" spans="1:9" x14ac:dyDescent="0.35">
      <c r="A23" s="23"/>
      <c r="C23" s="22"/>
      <c r="E23" s="23"/>
      <c r="G23" s="22"/>
    </row>
    <row r="24" spans="1:9" ht="15" thickBot="1" x14ac:dyDescent="0.4">
      <c r="A24" s="4" t="s">
        <v>66</v>
      </c>
      <c r="B24" s="4">
        <f>SUM(B17:B21)</f>
        <v>31</v>
      </c>
      <c r="C24" s="24">
        <f>SUM(C17:C21)</f>
        <v>283105159.33000004</v>
      </c>
      <c r="E24" s="4" t="s">
        <v>66</v>
      </c>
      <c r="F24" s="4">
        <f>SUM(F17:F22)</f>
        <v>31</v>
      </c>
      <c r="G24" s="24">
        <f>SUM(G17:G21)</f>
        <v>251405887.22</v>
      </c>
      <c r="I24" s="24">
        <f>SUM(I17:I21)</f>
        <v>-31699272.110000007</v>
      </c>
    </row>
    <row r="25" spans="1:9" ht="15" thickTop="1" x14ac:dyDescent="0.35">
      <c r="C25" s="22"/>
    </row>
    <row r="26" spans="1:9" ht="15" thickBot="1" x14ac:dyDescent="0.4">
      <c r="A26" s="28" t="s">
        <v>67</v>
      </c>
      <c r="B26" s="28"/>
      <c r="C26" s="29">
        <f>C11+C24</f>
        <v>552108270.50999999</v>
      </c>
      <c r="D26" s="28"/>
      <c r="E26" s="28" t="s">
        <v>67</v>
      </c>
      <c r="F26" s="28"/>
      <c r="G26" s="29">
        <f>G24+G11</f>
        <v>583946395.20000005</v>
      </c>
      <c r="H26" s="28"/>
      <c r="I26" s="29">
        <f>I24+I11</f>
        <v>31838124.689999998</v>
      </c>
    </row>
    <row r="27" spans="1:9" ht="15" thickTop="1" x14ac:dyDescent="0.3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6968-6AD4-4249-AD68-5BDFD97A0C11}">
  <dimension ref="A1:R67"/>
  <sheetViews>
    <sheetView topLeftCell="A7" workbookViewId="0">
      <selection activeCell="F21" sqref="F21:H25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5.6328125" style="35" customWidth="1"/>
    <col min="7" max="7" width="5.7265625" style="35" customWidth="1"/>
    <col min="8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5" width="13.08984375" style="35" customWidth="1"/>
    <col min="16" max="16" width="16.1796875" style="35" customWidth="1"/>
    <col min="17" max="17" width="12.1796875" style="35" bestFit="1" customWidth="1"/>
    <col min="18" max="18" width="11.453125" style="35" customWidth="1"/>
    <col min="19" max="19" width="10.81640625" style="35" bestFit="1" customWidth="1"/>
    <col min="20" max="16384" width="8.7265625" style="35"/>
  </cols>
  <sheetData>
    <row r="1" spans="1:18" x14ac:dyDescent="0.3">
      <c r="A1" s="34" t="s">
        <v>73</v>
      </c>
    </row>
    <row r="2" spans="1:18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  <c r="O2" s="36" t="s">
        <v>63</v>
      </c>
      <c r="P2" s="36" t="s">
        <v>64</v>
      </c>
      <c r="Q2" s="36" t="s">
        <v>65</v>
      </c>
      <c r="R2" s="36" t="s">
        <v>72</v>
      </c>
    </row>
    <row r="3" spans="1:18" ht="15" thickTop="1" x14ac:dyDescent="0.35">
      <c r="A3" s="50">
        <v>44170</v>
      </c>
      <c r="B3" s="49">
        <v>9</v>
      </c>
      <c r="C3" s="51">
        <v>54234481.119999997</v>
      </c>
      <c r="D3" s="42">
        <v>7870000</v>
      </c>
      <c r="F3" s="10">
        <v>44534</v>
      </c>
      <c r="G3" s="90">
        <v>10</v>
      </c>
      <c r="H3" s="51">
        <v>63667355</v>
      </c>
      <c r="I3" s="51">
        <v>8300000</v>
      </c>
      <c r="J3" s="45"/>
      <c r="K3" s="49">
        <f t="shared" ref="K3:L10" si="0">G3-B3</f>
        <v>1</v>
      </c>
      <c r="L3" s="38">
        <f t="shared" si="0"/>
        <v>9432873.8800000027</v>
      </c>
      <c r="M3" s="38">
        <f>D3-I3</f>
        <v>-430000</v>
      </c>
      <c r="O3" s="112">
        <v>44197</v>
      </c>
      <c r="P3" s="35">
        <f>'Jan 2021'!G12</f>
        <v>68</v>
      </c>
      <c r="Q3" s="111">
        <f>'Jan 2021'!H12</f>
        <v>392260376.98000002</v>
      </c>
      <c r="R3" s="110">
        <f>Q3/P3</f>
        <v>5768534.9555882355</v>
      </c>
    </row>
    <row r="4" spans="1:18" ht="14.5" x14ac:dyDescent="0.35">
      <c r="A4" s="50">
        <v>44171</v>
      </c>
      <c r="B4" s="49">
        <v>10</v>
      </c>
      <c r="C4" s="51">
        <f>60301127.13</f>
        <v>60301127.130000003</v>
      </c>
      <c r="D4" s="38">
        <v>7740000</v>
      </c>
      <c r="F4" s="10">
        <v>44541</v>
      </c>
      <c r="G4" s="93">
        <v>11</v>
      </c>
      <c r="H4" s="51">
        <v>68304853.780000001</v>
      </c>
      <c r="I4" s="51">
        <v>9460000</v>
      </c>
      <c r="J4" s="45"/>
      <c r="K4" s="49">
        <f t="shared" si="0"/>
        <v>1</v>
      </c>
      <c r="L4" s="38">
        <f t="shared" si="0"/>
        <v>8003726.6499999985</v>
      </c>
      <c r="M4" s="38">
        <f t="shared" ref="M4:M10" si="1">D4-I4</f>
        <v>-1720000</v>
      </c>
      <c r="O4" s="112">
        <v>44228</v>
      </c>
      <c r="P4" s="35">
        <f>'Feb 2021'!G12</f>
        <v>67</v>
      </c>
      <c r="Q4" s="111">
        <f>'Feb 2021'!H12</f>
        <v>383972588.51000005</v>
      </c>
      <c r="R4" s="110">
        <f t="shared" ref="R4:R14" si="2">Q4/P4</f>
        <v>5730934.1568656722</v>
      </c>
    </row>
    <row r="5" spans="1:18" ht="14.5" x14ac:dyDescent="0.35">
      <c r="A5" s="50">
        <v>44177</v>
      </c>
      <c r="B5" s="49">
        <v>11</v>
      </c>
      <c r="C5" s="51">
        <v>56077694</v>
      </c>
      <c r="D5" s="38">
        <v>9990000</v>
      </c>
      <c r="F5" s="10">
        <v>44542</v>
      </c>
      <c r="G5" s="93">
        <v>10</v>
      </c>
      <c r="H5" s="51">
        <v>52004030</v>
      </c>
      <c r="I5" s="51">
        <v>8170000</v>
      </c>
      <c r="J5" s="45"/>
      <c r="K5" s="49">
        <f t="shared" si="0"/>
        <v>-1</v>
      </c>
      <c r="L5" s="38">
        <f t="shared" si="0"/>
        <v>-4073664</v>
      </c>
      <c r="M5" s="38">
        <f t="shared" si="1"/>
        <v>1820000</v>
      </c>
      <c r="O5" s="112">
        <v>44256</v>
      </c>
      <c r="P5" s="35">
        <f>'Mar 2021'!G12</f>
        <v>70</v>
      </c>
      <c r="Q5" s="111">
        <f>'Mar 2021'!H12</f>
        <v>375145942.61000001</v>
      </c>
      <c r="R5" s="110">
        <f t="shared" si="2"/>
        <v>5359227.751571429</v>
      </c>
    </row>
    <row r="6" spans="1:18" ht="14.5" x14ac:dyDescent="0.35">
      <c r="A6" s="50">
        <v>44178</v>
      </c>
      <c r="B6" s="49">
        <v>9</v>
      </c>
      <c r="C6" s="51">
        <v>46479251.409999996</v>
      </c>
      <c r="D6" s="38">
        <v>6500000</v>
      </c>
      <c r="F6" s="10">
        <v>44548</v>
      </c>
      <c r="G6" s="93">
        <v>11</v>
      </c>
      <c r="H6" s="51">
        <v>73578579.939999998</v>
      </c>
      <c r="I6" s="51">
        <v>8820000</v>
      </c>
      <c r="J6" s="45"/>
      <c r="K6" s="49">
        <f t="shared" si="0"/>
        <v>2</v>
      </c>
      <c r="L6" s="38">
        <f t="shared" si="0"/>
        <v>27099328.530000001</v>
      </c>
      <c r="M6" s="38">
        <f t="shared" si="1"/>
        <v>-2320000</v>
      </c>
      <c r="O6" s="112">
        <v>44287</v>
      </c>
      <c r="P6" s="35">
        <f>'April 2021'!G12</f>
        <v>63</v>
      </c>
      <c r="Q6" s="111">
        <f>'April 2021'!H12</f>
        <v>321259870.49000001</v>
      </c>
      <c r="R6" s="110">
        <f t="shared" si="2"/>
        <v>5099363.0236507934</v>
      </c>
    </row>
    <row r="7" spans="1:18" ht="14.5" x14ac:dyDescent="0.35">
      <c r="A7" s="50">
        <v>44184</v>
      </c>
      <c r="B7" s="49">
        <v>11</v>
      </c>
      <c r="C7" s="51">
        <v>66397832.710000001</v>
      </c>
      <c r="D7" s="38">
        <v>8330000</v>
      </c>
      <c r="F7" s="10">
        <v>44549</v>
      </c>
      <c r="G7" s="93">
        <v>9</v>
      </c>
      <c r="H7" s="51">
        <v>45073683</v>
      </c>
      <c r="I7" s="51">
        <v>7070000</v>
      </c>
      <c r="J7" s="45"/>
      <c r="K7" s="49">
        <f t="shared" si="0"/>
        <v>-2</v>
      </c>
      <c r="L7" s="38">
        <f t="shared" si="0"/>
        <v>-21324149.710000001</v>
      </c>
      <c r="M7" s="38">
        <f t="shared" si="1"/>
        <v>1260000</v>
      </c>
      <c r="O7" s="112">
        <v>44317</v>
      </c>
      <c r="P7" s="35">
        <f>'May 2021'!G12</f>
        <v>66</v>
      </c>
      <c r="Q7" s="111">
        <f>'May 2021'!H12</f>
        <v>374619733.32999992</v>
      </c>
      <c r="R7" s="110">
        <f t="shared" si="2"/>
        <v>5676056.5656060595</v>
      </c>
    </row>
    <row r="8" spans="1:18" ht="14.5" x14ac:dyDescent="0.35">
      <c r="A8" s="50">
        <v>44188</v>
      </c>
      <c r="B8" s="49">
        <v>9</v>
      </c>
      <c r="C8" s="51">
        <v>51702744</v>
      </c>
      <c r="D8" s="38">
        <f>870000+690000+600000+650000+900000+620000+900000+930000+1000000</f>
        <v>7160000</v>
      </c>
      <c r="F8" s="10">
        <v>44553</v>
      </c>
      <c r="G8" s="93">
        <v>9</v>
      </c>
      <c r="H8" s="108">
        <v>50532356.68</v>
      </c>
      <c r="I8" s="51">
        <v>6275000</v>
      </c>
      <c r="J8" s="45"/>
      <c r="K8" s="49">
        <f t="shared" si="0"/>
        <v>0</v>
      </c>
      <c r="L8" s="38">
        <f t="shared" si="0"/>
        <v>-1170387.3200000003</v>
      </c>
      <c r="M8" s="38">
        <f t="shared" si="1"/>
        <v>885000</v>
      </c>
      <c r="O8" s="112">
        <v>44348</v>
      </c>
      <c r="P8" s="35">
        <f>'June 2021'!G12</f>
        <v>69</v>
      </c>
      <c r="Q8" s="111">
        <f>'June 2021'!H12</f>
        <v>398204740.72000003</v>
      </c>
      <c r="R8" s="110">
        <f t="shared" si="2"/>
        <v>5771083.1988405799</v>
      </c>
    </row>
    <row r="9" spans="1:18" ht="14.5" x14ac:dyDescent="0.35">
      <c r="A9" s="50">
        <v>44191</v>
      </c>
      <c r="B9" s="49">
        <v>10</v>
      </c>
      <c r="C9" s="51">
        <v>72225437</v>
      </c>
      <c r="D9" s="38">
        <f>600000+700000+820000+750000+1000000+1000000+700000+970000+1000000+4500000</f>
        <v>12040000</v>
      </c>
      <c r="F9" s="10">
        <v>44556</v>
      </c>
      <c r="G9" s="107">
        <v>11</v>
      </c>
      <c r="H9" s="108">
        <v>71625920.659999996</v>
      </c>
      <c r="I9" s="108">
        <v>11920000</v>
      </c>
      <c r="J9" s="45"/>
      <c r="K9" s="49">
        <f t="shared" si="0"/>
        <v>1</v>
      </c>
      <c r="L9" s="38">
        <f t="shared" si="0"/>
        <v>-599516.34000000358</v>
      </c>
      <c r="M9" s="38">
        <f t="shared" si="1"/>
        <v>120000</v>
      </c>
      <c r="O9" s="112">
        <v>44378</v>
      </c>
      <c r="P9" s="35">
        <f>'July 2021'!G12</f>
        <v>67</v>
      </c>
      <c r="Q9" s="111">
        <f>'July 2021'!H12</f>
        <v>393434187.67999995</v>
      </c>
      <c r="R9" s="110">
        <f t="shared" si="2"/>
        <v>5872152.0549253719</v>
      </c>
    </row>
    <row r="10" spans="1:18" ht="14.5" x14ac:dyDescent="0.35">
      <c r="A10" s="50">
        <v>44192</v>
      </c>
      <c r="B10" s="49">
        <v>11</v>
      </c>
      <c r="C10" s="51">
        <v>59862788</v>
      </c>
      <c r="D10" s="38">
        <f>700000+970000+970000+760000+780000+1000000+780000+720000+1030000+4000000+2500000</f>
        <v>14210000</v>
      </c>
      <c r="F10" s="10">
        <v>44557</v>
      </c>
      <c r="G10" s="93">
        <v>11</v>
      </c>
      <c r="H10" s="108">
        <v>62979445.609999999</v>
      </c>
      <c r="I10" s="51">
        <v>12980000</v>
      </c>
      <c r="J10" s="45"/>
      <c r="K10" s="49">
        <f t="shared" si="0"/>
        <v>0</v>
      </c>
      <c r="L10" s="38">
        <f t="shared" si="0"/>
        <v>3116657.6099999994</v>
      </c>
      <c r="M10" s="38">
        <f t="shared" si="1"/>
        <v>1230000</v>
      </c>
      <c r="O10" s="112">
        <v>44409</v>
      </c>
      <c r="P10" s="35">
        <f>'Aug 2021'!G12</f>
        <v>69</v>
      </c>
      <c r="Q10" s="111">
        <f>'Aug 2021'!H12</f>
        <v>379871556.18000007</v>
      </c>
      <c r="R10" s="110">
        <f t="shared" si="2"/>
        <v>5505384.8721739138</v>
      </c>
    </row>
    <row r="11" spans="1:18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  <c r="O11" s="112">
        <v>44440</v>
      </c>
      <c r="P11" s="35">
        <f>'Sept 2021'!G12</f>
        <v>71</v>
      </c>
      <c r="Q11" s="111">
        <f>'Sept 2021'!H12</f>
        <v>367411106.73000002</v>
      </c>
      <c r="R11" s="110">
        <f t="shared" si="2"/>
        <v>5174804.3201408451</v>
      </c>
    </row>
    <row r="12" spans="1:18" ht="15" thickBot="1" x14ac:dyDescent="0.4">
      <c r="A12" s="52" t="s">
        <v>66</v>
      </c>
      <c r="B12" s="52">
        <f>SUM(B3:B11)</f>
        <v>80</v>
      </c>
      <c r="C12" s="39">
        <f>SUM(C3:C11)</f>
        <v>467281355.37</v>
      </c>
      <c r="D12" s="54">
        <f>SUM(D3:D11)</f>
        <v>73840000</v>
      </c>
      <c r="F12" s="52" t="s">
        <v>66</v>
      </c>
      <c r="G12" s="52">
        <f>SUM(G3:G11)</f>
        <v>82</v>
      </c>
      <c r="H12" s="39">
        <f>SUM(H3:H11)</f>
        <v>487766224.67000008</v>
      </c>
      <c r="I12" s="39">
        <f>SUM(I3:I11)</f>
        <v>72995000</v>
      </c>
      <c r="J12" s="46"/>
      <c r="K12" s="14">
        <f>G12-B12</f>
        <v>2</v>
      </c>
      <c r="L12" s="39">
        <f>SUM(L3:L11)</f>
        <v>20484869.299999997</v>
      </c>
      <c r="M12" s="39">
        <f>SUM(M3:M11)</f>
        <v>845000</v>
      </c>
      <c r="O12" s="112">
        <v>44470</v>
      </c>
      <c r="P12" s="35">
        <f>'Oct 2021'!G12</f>
        <v>76</v>
      </c>
      <c r="Q12" s="111">
        <f>'Oct 2021'!H12</f>
        <v>457561152.93000001</v>
      </c>
      <c r="R12" s="110">
        <f t="shared" si="2"/>
        <v>6020541.4859210523</v>
      </c>
    </row>
    <row r="13" spans="1:18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  <c r="O13" s="112">
        <v>44501</v>
      </c>
      <c r="P13" s="35">
        <f>'Nov 2021'!G12</f>
        <v>77</v>
      </c>
      <c r="Q13" s="111">
        <f>'Nov 2021'!H12</f>
        <v>465932593.51999998</v>
      </c>
      <c r="R13" s="110">
        <f t="shared" si="2"/>
        <v>6051072.643116883</v>
      </c>
    </row>
    <row r="14" spans="1:18" x14ac:dyDescent="0.3">
      <c r="A14" s="65" t="s">
        <v>72</v>
      </c>
      <c r="B14" s="62">
        <f>SUM(B3:B11)/COUNT(B3:B11)</f>
        <v>10</v>
      </c>
      <c r="C14" s="63">
        <f>SUM(C3:C11)/COUNT(C3:C11)</f>
        <v>58410169.421250001</v>
      </c>
      <c r="D14" s="63">
        <f>SUM(D3:D11)/COUNT(D3:D11)</f>
        <v>9230000</v>
      </c>
      <c r="F14" s="59" t="s">
        <v>80</v>
      </c>
      <c r="G14" s="60">
        <f>SUM(G3:G11)/COUNT(G3:G11)</f>
        <v>10.25</v>
      </c>
      <c r="H14" s="61">
        <f>SUM(H3:H11)/COUNT(H3:H11)</f>
        <v>60970778.08375001</v>
      </c>
      <c r="I14" s="61">
        <f>SUM(I3:I11)/COUNT(I3:I11)</f>
        <v>9124375</v>
      </c>
      <c r="J14" s="48"/>
      <c r="K14" s="62">
        <f>SUM(K3:K11)/COUNT(K3:K11)</f>
        <v>0.25</v>
      </c>
      <c r="L14" s="63">
        <f>SUM(L3:L11)/COUNT(L3:L11)</f>
        <v>2560608.6624999996</v>
      </c>
      <c r="M14" s="63">
        <f>SUM(M3:M11)/COUNT(M3:M11)</f>
        <v>105625</v>
      </c>
      <c r="O14" s="112">
        <v>44531</v>
      </c>
      <c r="P14" s="35">
        <f>G12</f>
        <v>82</v>
      </c>
      <c r="Q14" s="111">
        <f>H12</f>
        <v>487766224.67000008</v>
      </c>
      <c r="R14" s="110">
        <f t="shared" si="2"/>
        <v>5948368.5935365865</v>
      </c>
    </row>
    <row r="15" spans="1:18" x14ac:dyDescent="0.3">
      <c r="A15" s="83" t="s">
        <v>79</v>
      </c>
      <c r="B15" s="84">
        <f>B12/COUNTA(B3:B10)</f>
        <v>10</v>
      </c>
      <c r="C15" s="85">
        <f>C12/B12</f>
        <v>5841016.9421250001</v>
      </c>
      <c r="D15" s="85"/>
      <c r="F15" s="83" t="s">
        <v>79</v>
      </c>
      <c r="G15" s="84">
        <f>G12/COUNTA(G3:G10)</f>
        <v>10.25</v>
      </c>
      <c r="H15" s="85">
        <f>H12/G12</f>
        <v>5948368.5935365865</v>
      </c>
      <c r="I15" s="85"/>
      <c r="J15" s="48"/>
      <c r="K15" s="84"/>
      <c r="L15" s="85"/>
      <c r="M15" s="85"/>
      <c r="O15" s="112">
        <v>44562</v>
      </c>
      <c r="R15" s="110"/>
    </row>
    <row r="16" spans="1:18" x14ac:dyDescent="0.3">
      <c r="A16" s="83"/>
      <c r="B16" s="84"/>
      <c r="C16" s="85"/>
      <c r="D16" s="85"/>
      <c r="F16" s="83"/>
      <c r="G16" s="84"/>
      <c r="H16" s="85"/>
      <c r="I16" s="85"/>
      <c r="J16" s="48"/>
      <c r="K16" s="84"/>
      <c r="L16" s="85"/>
      <c r="M16" s="85"/>
      <c r="O16" s="112">
        <v>44593</v>
      </c>
      <c r="P16" s="35">
        <f>SUM(P3:P14)</f>
        <v>845</v>
      </c>
      <c r="Q16" s="109">
        <f>SUM(Q3:Q14)</f>
        <v>4797440074.3500004</v>
      </c>
      <c r="R16" s="110">
        <f>Q16/P16</f>
        <v>5677443.8749704147</v>
      </c>
    </row>
    <row r="17" spans="1:17" x14ac:dyDescent="0.3">
      <c r="A17" s="83"/>
      <c r="B17" s="84"/>
      <c r="C17" s="85"/>
      <c r="D17" s="85"/>
      <c r="F17" s="83"/>
      <c r="G17" s="84"/>
      <c r="H17" s="85"/>
      <c r="I17" s="85"/>
      <c r="J17" s="48"/>
      <c r="K17" s="84"/>
      <c r="L17" s="85"/>
      <c r="M17" s="85"/>
    </row>
    <row r="18" spans="1:17" x14ac:dyDescent="0.3">
      <c r="H18" s="78"/>
    </row>
    <row r="19" spans="1:17" x14ac:dyDescent="0.3">
      <c r="A19" s="34" t="s">
        <v>71</v>
      </c>
      <c r="Q19" s="109"/>
    </row>
    <row r="20" spans="1:17" ht="29.5" thickBot="1" x14ac:dyDescent="0.4">
      <c r="A20" s="76" t="s">
        <v>70</v>
      </c>
      <c r="B20" s="76" t="s">
        <v>69</v>
      </c>
      <c r="C20" s="76" t="s">
        <v>65</v>
      </c>
      <c r="D20" s="76"/>
      <c r="F20" s="76" t="s">
        <v>70</v>
      </c>
      <c r="G20" s="76" t="s">
        <v>69</v>
      </c>
      <c r="H20" s="76" t="s">
        <v>65</v>
      </c>
      <c r="I20" s="76" t="s">
        <v>74</v>
      </c>
      <c r="J20" s="77"/>
      <c r="K20" s="66" t="s">
        <v>78</v>
      </c>
      <c r="L20" s="67" t="s">
        <v>76</v>
      </c>
      <c r="M20" s="67" t="s">
        <v>77</v>
      </c>
    </row>
    <row r="21" spans="1:17" x14ac:dyDescent="0.3">
      <c r="A21" s="73">
        <v>44170</v>
      </c>
      <c r="B21" s="68">
        <v>5</v>
      </c>
      <c r="C21" s="74">
        <v>51947661.659999996</v>
      </c>
      <c r="D21" s="74"/>
      <c r="F21" s="73">
        <v>44534</v>
      </c>
      <c r="G21" s="68">
        <v>4</v>
      </c>
      <c r="H21" s="74">
        <v>56497548.600000001</v>
      </c>
      <c r="I21" s="69"/>
      <c r="J21" s="45"/>
      <c r="K21" s="68">
        <f t="shared" ref="K21:L25" si="3">G21-B21</f>
        <v>-1</v>
      </c>
      <c r="L21" s="69">
        <f>H21-C21</f>
        <v>4549886.9400000051</v>
      </c>
      <c r="M21" s="69"/>
    </row>
    <row r="22" spans="1:17" x14ac:dyDescent="0.3">
      <c r="A22" s="73">
        <v>44177</v>
      </c>
      <c r="B22" s="68">
        <v>7</v>
      </c>
      <c r="C22" s="74">
        <v>74245691.680000007</v>
      </c>
      <c r="D22" s="74"/>
      <c r="F22" s="73">
        <v>44541</v>
      </c>
      <c r="G22" s="68">
        <v>7</v>
      </c>
      <c r="H22" s="74">
        <f>80149757.53</f>
        <v>80149757.530000001</v>
      </c>
      <c r="I22" s="69"/>
      <c r="J22" s="45"/>
      <c r="K22" s="68">
        <f t="shared" si="3"/>
        <v>0</v>
      </c>
      <c r="L22" s="69">
        <f>H22-C22</f>
        <v>5904065.849999994</v>
      </c>
      <c r="M22" s="69"/>
    </row>
    <row r="23" spans="1:17" x14ac:dyDescent="0.3">
      <c r="A23" s="73">
        <v>44184</v>
      </c>
      <c r="B23" s="68">
        <v>7</v>
      </c>
      <c r="C23" s="74">
        <v>69004108.659999996</v>
      </c>
      <c r="D23" s="74"/>
      <c r="F23" s="73">
        <v>44548</v>
      </c>
      <c r="G23" s="68">
        <v>7</v>
      </c>
      <c r="H23" s="74">
        <v>84062330.390000001</v>
      </c>
      <c r="I23" s="69"/>
      <c r="J23" s="45"/>
      <c r="K23" s="68">
        <f t="shared" si="3"/>
        <v>0</v>
      </c>
      <c r="L23" s="69">
        <f>H23-C23</f>
        <v>15058221.730000004</v>
      </c>
      <c r="M23" s="69"/>
    </row>
    <row r="24" spans="1:17" x14ac:dyDescent="0.3">
      <c r="A24" s="73">
        <v>44191</v>
      </c>
      <c r="B24" s="68">
        <v>6</v>
      </c>
      <c r="C24" s="74">
        <v>64463894.409999996</v>
      </c>
      <c r="D24" s="74"/>
      <c r="F24" s="73">
        <v>44555</v>
      </c>
      <c r="G24" s="68">
        <v>6</v>
      </c>
      <c r="H24" s="103">
        <v>55543074.780000001</v>
      </c>
      <c r="I24" s="69"/>
      <c r="J24" s="45"/>
      <c r="K24" s="68">
        <f t="shared" si="3"/>
        <v>0</v>
      </c>
      <c r="L24" s="69">
        <f t="shared" si="3"/>
        <v>-8920819.6299999952</v>
      </c>
      <c r="M24" s="69"/>
    </row>
    <row r="25" spans="1:17" x14ac:dyDescent="0.3">
      <c r="A25" s="73">
        <v>44196</v>
      </c>
      <c r="B25" s="68">
        <v>5</v>
      </c>
      <c r="C25" s="74">
        <v>54802438.32</v>
      </c>
      <c r="D25" s="74"/>
      <c r="F25" s="73">
        <v>44561</v>
      </c>
      <c r="G25" s="105">
        <v>6</v>
      </c>
      <c r="H25" s="106">
        <f>39487162.93</f>
        <v>39487162.93</v>
      </c>
      <c r="I25" s="69"/>
      <c r="J25" s="45"/>
      <c r="K25" s="68">
        <f t="shared" si="3"/>
        <v>1</v>
      </c>
      <c r="L25" s="69">
        <f t="shared" si="3"/>
        <v>-15315275.390000001</v>
      </c>
      <c r="M25" s="69"/>
    </row>
    <row r="26" spans="1:17" x14ac:dyDescent="0.3">
      <c r="A26" s="73"/>
      <c r="B26" s="68"/>
      <c r="C26" s="74"/>
      <c r="D26" s="74"/>
      <c r="F26" s="73"/>
      <c r="G26" s="68"/>
      <c r="H26" s="74"/>
      <c r="I26" s="69"/>
      <c r="J26" s="45"/>
      <c r="K26" s="68"/>
      <c r="L26" s="69"/>
      <c r="M26" s="69"/>
    </row>
    <row r="27" spans="1:17" ht="14.5" x14ac:dyDescent="0.35">
      <c r="A27" s="73"/>
      <c r="B27" s="68"/>
      <c r="C27" s="87"/>
      <c r="D27" s="74"/>
      <c r="F27" s="73"/>
      <c r="G27" s="68"/>
      <c r="H27" s="100"/>
      <c r="I27" s="69"/>
      <c r="J27" s="45"/>
      <c r="K27" s="68"/>
      <c r="L27" s="69"/>
      <c r="M27" s="69"/>
    </row>
    <row r="28" spans="1:17" ht="13.5" thickBot="1" x14ac:dyDescent="0.35">
      <c r="A28" s="75" t="s">
        <v>66</v>
      </c>
      <c r="B28" s="75">
        <f>SUM(B21:B26)</f>
        <v>30</v>
      </c>
      <c r="C28" s="88">
        <f>SUM(C21:C26)</f>
        <v>314463794.73000002</v>
      </c>
      <c r="D28" s="70"/>
      <c r="F28" s="75" t="s">
        <v>66</v>
      </c>
      <c r="G28" s="75">
        <f>SUM(G21:G27)</f>
        <v>30</v>
      </c>
      <c r="H28" s="70">
        <f>SUM(H21:H27)</f>
        <v>315739874.22999996</v>
      </c>
      <c r="I28" s="70"/>
      <c r="J28" s="46"/>
      <c r="K28" s="68">
        <f>SUM(K21:K27)</f>
        <v>0</v>
      </c>
      <c r="L28" s="70">
        <f>SUM(L21:L27)</f>
        <v>1276079.5000000075</v>
      </c>
      <c r="M28" s="70"/>
    </row>
    <row r="29" spans="1:17" ht="13.5" thickTop="1" x14ac:dyDescent="0.3">
      <c r="A29" s="68"/>
      <c r="B29" s="68"/>
      <c r="C29" s="74"/>
      <c r="D29" s="74"/>
      <c r="F29" s="68"/>
      <c r="G29" s="68"/>
      <c r="H29" s="68"/>
      <c r="I29" s="68"/>
      <c r="K29" s="68"/>
      <c r="L29" s="68"/>
      <c r="M29" s="68"/>
    </row>
    <row r="30" spans="1:17" ht="13.5" thickBot="1" x14ac:dyDescent="0.35">
      <c r="A30" s="71" t="s">
        <v>67</v>
      </c>
      <c r="B30" s="71"/>
      <c r="C30" s="72">
        <f>C12+C28</f>
        <v>781745150.10000002</v>
      </c>
      <c r="D30" s="72"/>
      <c r="E30" s="41"/>
      <c r="F30" s="71" t="s">
        <v>67</v>
      </c>
      <c r="G30" s="71"/>
      <c r="H30" s="72">
        <f>H28+H12</f>
        <v>803506098.9000001</v>
      </c>
      <c r="I30" s="72"/>
      <c r="J30" s="46"/>
      <c r="K30" s="71"/>
      <c r="L30" s="72">
        <f>L28+L12</f>
        <v>21760948.800000004</v>
      </c>
      <c r="M30" s="72"/>
    </row>
    <row r="31" spans="1:17" ht="13.5" thickTop="1" x14ac:dyDescent="0.3"/>
    <row r="33" spans="1:13" x14ac:dyDescent="0.3">
      <c r="C33" s="78"/>
    </row>
    <row r="37" spans="1:13" x14ac:dyDescent="0.3">
      <c r="C37" s="78"/>
    </row>
    <row r="38" spans="1:13" x14ac:dyDescent="0.3">
      <c r="H38" s="78"/>
      <c r="I38" s="78"/>
    </row>
    <row r="40" spans="1:13" x14ac:dyDescent="0.3">
      <c r="H40" s="78"/>
    </row>
    <row r="41" spans="1:13" x14ac:dyDescent="0.3">
      <c r="A41" s="34" t="s">
        <v>73</v>
      </c>
    </row>
    <row r="42" spans="1:13" ht="30" thickBot="1" x14ac:dyDescent="0.45">
      <c r="A42" s="37" t="s">
        <v>63</v>
      </c>
      <c r="B42" s="37" t="s">
        <v>64</v>
      </c>
      <c r="C42" s="37" t="s">
        <v>65</v>
      </c>
      <c r="D42" s="53" t="s">
        <v>74</v>
      </c>
      <c r="E42" s="36"/>
      <c r="F42" s="37" t="s">
        <v>63</v>
      </c>
      <c r="G42" s="37" t="s">
        <v>64</v>
      </c>
      <c r="H42" s="37" t="s">
        <v>65</v>
      </c>
      <c r="I42" s="18" t="s">
        <v>74</v>
      </c>
      <c r="J42" s="44"/>
      <c r="K42" s="64" t="s">
        <v>78</v>
      </c>
      <c r="L42" s="37" t="s">
        <v>76</v>
      </c>
      <c r="M42" s="37" t="s">
        <v>77</v>
      </c>
    </row>
    <row r="43" spans="1:13" ht="13.5" thickTop="1" x14ac:dyDescent="0.3">
      <c r="A43" s="50">
        <v>43617</v>
      </c>
      <c r="B43" s="49">
        <v>10</v>
      </c>
      <c r="C43" s="51">
        <v>49107482.100000001</v>
      </c>
      <c r="D43" s="51">
        <v>7700000</v>
      </c>
      <c r="F43" s="50">
        <f t="shared" ref="F43:I49" si="4">F3</f>
        <v>44534</v>
      </c>
      <c r="G43" s="49">
        <f t="shared" si="4"/>
        <v>10</v>
      </c>
      <c r="H43" s="51">
        <f t="shared" si="4"/>
        <v>63667355</v>
      </c>
      <c r="I43" s="51">
        <f t="shared" si="4"/>
        <v>8300000</v>
      </c>
      <c r="J43" s="45"/>
      <c r="K43" s="49">
        <f t="shared" ref="K43:L49" si="5">G43-B43</f>
        <v>0</v>
      </c>
      <c r="L43" s="38">
        <f t="shared" si="5"/>
        <v>14559872.899999999</v>
      </c>
      <c r="M43" s="38">
        <f>D43-I43</f>
        <v>-600000</v>
      </c>
    </row>
    <row r="44" spans="1:13" x14ac:dyDescent="0.3">
      <c r="A44" s="50">
        <v>43621</v>
      </c>
      <c r="B44" s="49">
        <v>10</v>
      </c>
      <c r="C44" s="51">
        <v>42515706.219999999</v>
      </c>
      <c r="D44" s="51">
        <v>7810000</v>
      </c>
      <c r="F44" s="50">
        <f t="shared" si="4"/>
        <v>44541</v>
      </c>
      <c r="G44" s="49">
        <f t="shared" si="4"/>
        <v>11</v>
      </c>
      <c r="H44" s="51">
        <f t="shared" si="4"/>
        <v>68304853.780000001</v>
      </c>
      <c r="I44" s="51">
        <f t="shared" si="4"/>
        <v>9460000</v>
      </c>
      <c r="J44" s="45"/>
      <c r="K44" s="49">
        <f t="shared" si="5"/>
        <v>1</v>
      </c>
      <c r="L44" s="38">
        <f t="shared" si="5"/>
        <v>25789147.560000002</v>
      </c>
      <c r="M44" s="38">
        <f t="shared" ref="M44:M49" si="6">D44-I44</f>
        <v>-1650000</v>
      </c>
    </row>
    <row r="45" spans="1:13" x14ac:dyDescent="0.3">
      <c r="A45" s="50">
        <v>43624</v>
      </c>
      <c r="B45" s="49">
        <v>10</v>
      </c>
      <c r="C45" s="51">
        <v>45248004.640000001</v>
      </c>
      <c r="D45" s="51">
        <v>7330000</v>
      </c>
      <c r="F45" s="50">
        <f t="shared" si="4"/>
        <v>44542</v>
      </c>
      <c r="G45" s="49">
        <f t="shared" si="4"/>
        <v>10</v>
      </c>
      <c r="H45" s="51">
        <f t="shared" si="4"/>
        <v>52004030</v>
      </c>
      <c r="I45" s="51">
        <f t="shared" si="4"/>
        <v>8170000</v>
      </c>
      <c r="J45" s="45"/>
      <c r="K45" s="49">
        <f t="shared" si="5"/>
        <v>0</v>
      </c>
      <c r="L45" s="38">
        <f t="shared" si="5"/>
        <v>6756025.3599999994</v>
      </c>
      <c r="M45" s="38">
        <f t="shared" si="6"/>
        <v>-840000</v>
      </c>
    </row>
    <row r="46" spans="1:13" x14ac:dyDescent="0.3">
      <c r="A46" s="50">
        <v>43631</v>
      </c>
      <c r="B46" s="49">
        <v>10</v>
      </c>
      <c r="C46" s="51">
        <v>48475378.57</v>
      </c>
      <c r="D46" s="51">
        <v>7680000</v>
      </c>
      <c r="F46" s="50">
        <f t="shared" si="4"/>
        <v>44548</v>
      </c>
      <c r="G46" s="49">
        <f t="shared" si="4"/>
        <v>11</v>
      </c>
      <c r="H46" s="51">
        <f t="shared" si="4"/>
        <v>73578579.939999998</v>
      </c>
      <c r="I46" s="51">
        <f t="shared" si="4"/>
        <v>8820000</v>
      </c>
      <c r="J46" s="45"/>
      <c r="K46" s="49">
        <f t="shared" si="5"/>
        <v>1</v>
      </c>
      <c r="L46" s="38">
        <f t="shared" si="5"/>
        <v>25103201.369999997</v>
      </c>
      <c r="M46" s="38">
        <f t="shared" si="6"/>
        <v>-1140000</v>
      </c>
    </row>
    <row r="47" spans="1:13" x14ac:dyDescent="0.3">
      <c r="A47" s="50">
        <v>43638</v>
      </c>
      <c r="B47" s="49">
        <v>10</v>
      </c>
      <c r="C47" s="51">
        <v>50247806.390000001</v>
      </c>
      <c r="D47" s="51">
        <v>7240000</v>
      </c>
      <c r="F47" s="50">
        <f t="shared" si="4"/>
        <v>44549</v>
      </c>
      <c r="G47" s="49">
        <f t="shared" si="4"/>
        <v>9</v>
      </c>
      <c r="H47" s="51">
        <f t="shared" si="4"/>
        <v>45073683</v>
      </c>
      <c r="I47" s="51">
        <f t="shared" si="4"/>
        <v>7070000</v>
      </c>
      <c r="J47" s="45"/>
      <c r="K47" s="49">
        <f t="shared" si="5"/>
        <v>-1</v>
      </c>
      <c r="L47" s="38">
        <f t="shared" si="5"/>
        <v>-5174123.3900000006</v>
      </c>
      <c r="M47" s="38">
        <f t="shared" si="6"/>
        <v>170000</v>
      </c>
    </row>
    <row r="48" spans="1:13" x14ac:dyDescent="0.3">
      <c r="A48" s="50">
        <v>43645</v>
      </c>
      <c r="B48" s="49">
        <v>12</v>
      </c>
      <c r="C48" s="51">
        <v>62733026.039999999</v>
      </c>
      <c r="D48" s="51">
        <v>17950000</v>
      </c>
      <c r="F48" s="50">
        <f t="shared" si="4"/>
        <v>44553</v>
      </c>
      <c r="G48" s="49">
        <f t="shared" si="4"/>
        <v>9</v>
      </c>
      <c r="H48" s="51">
        <f t="shared" si="4"/>
        <v>50532356.68</v>
      </c>
      <c r="I48" s="51">
        <f t="shared" si="4"/>
        <v>6275000</v>
      </c>
      <c r="J48" s="45"/>
      <c r="K48" s="49">
        <f t="shared" si="5"/>
        <v>-3</v>
      </c>
      <c r="L48" s="38">
        <f t="shared" si="5"/>
        <v>-12200669.359999999</v>
      </c>
      <c r="M48" s="38">
        <f t="shared" si="6"/>
        <v>11675000</v>
      </c>
    </row>
    <row r="49" spans="1:13" x14ac:dyDescent="0.3">
      <c r="A49" s="50">
        <v>43646</v>
      </c>
      <c r="B49" s="49">
        <v>10</v>
      </c>
      <c r="C49" s="80">
        <v>42779316.770000003</v>
      </c>
      <c r="D49" s="51">
        <v>8130000</v>
      </c>
      <c r="F49" s="50">
        <f t="shared" si="4"/>
        <v>44556</v>
      </c>
      <c r="G49" s="49">
        <f t="shared" si="4"/>
        <v>11</v>
      </c>
      <c r="H49" s="51">
        <f t="shared" si="4"/>
        <v>71625920.659999996</v>
      </c>
      <c r="I49" s="51">
        <f t="shared" si="4"/>
        <v>11920000</v>
      </c>
      <c r="J49" s="45"/>
      <c r="K49" s="49">
        <f t="shared" si="5"/>
        <v>1</v>
      </c>
      <c r="L49" s="38">
        <f t="shared" si="5"/>
        <v>28846603.889999993</v>
      </c>
      <c r="M49" s="38">
        <f t="shared" si="6"/>
        <v>-3790000</v>
      </c>
    </row>
    <row r="50" spans="1:13" x14ac:dyDescent="0.3">
      <c r="A50" s="50"/>
      <c r="B50" s="49"/>
      <c r="C50" s="51"/>
      <c r="D50" s="51"/>
      <c r="F50" s="50"/>
      <c r="G50" s="49"/>
      <c r="H50" s="51"/>
      <c r="I50" s="43"/>
      <c r="J50" s="45"/>
      <c r="K50" s="49"/>
      <c r="L50" s="38"/>
      <c r="M50" s="38"/>
    </row>
    <row r="51" spans="1:13" ht="15" thickBot="1" x14ac:dyDescent="0.4">
      <c r="A51" s="52" t="s">
        <v>66</v>
      </c>
      <c r="B51" s="52">
        <f>SUM(B43:B50)</f>
        <v>72</v>
      </c>
      <c r="C51" s="39">
        <f>SUM(C43:C50)</f>
        <v>341106720.72999996</v>
      </c>
      <c r="D51" s="54">
        <f>SUM(D43:D50)</f>
        <v>63840000</v>
      </c>
      <c r="F51" s="52" t="s">
        <v>66</v>
      </c>
      <c r="G51" s="52">
        <f>SUM(G43:G50)</f>
        <v>71</v>
      </c>
      <c r="H51" s="39">
        <f>SUM(H43:H50)</f>
        <v>424786779.06000006</v>
      </c>
      <c r="I51" s="39">
        <f>SUM(I43:I50)</f>
        <v>60015000</v>
      </c>
      <c r="J51" s="46"/>
      <c r="K51" s="14">
        <f>G51-B51</f>
        <v>-1</v>
      </c>
      <c r="L51" s="39">
        <f>SUM(L43:L50)</f>
        <v>83680058.329999983</v>
      </c>
      <c r="M51" s="39">
        <f>SUM(M43:M50)</f>
        <v>3825000</v>
      </c>
    </row>
    <row r="52" spans="1:13" ht="13.5" thickTop="1" x14ac:dyDescent="0.3">
      <c r="A52" s="49" t="s">
        <v>75</v>
      </c>
      <c r="B52" s="55"/>
      <c r="C52" s="40"/>
      <c r="D52" s="40"/>
      <c r="F52" s="58"/>
      <c r="G52" s="56"/>
      <c r="H52" s="57"/>
      <c r="I52" s="57"/>
      <c r="J52" s="46"/>
      <c r="K52" s="49"/>
      <c r="L52" s="40"/>
      <c r="M52" s="40"/>
    </row>
    <row r="53" spans="1:13" x14ac:dyDescent="0.3">
      <c r="A53" s="65" t="s">
        <v>72</v>
      </c>
      <c r="B53" s="62">
        <f>SUM(B43:B50)/COUNT(B43:B50)</f>
        <v>10.285714285714286</v>
      </c>
      <c r="C53" s="63">
        <f>SUM(C43:C50)/COUNT(C43:C50)</f>
        <v>48729531.532857135</v>
      </c>
      <c r="D53" s="63">
        <f>SUM(D43:D50)/COUNT(D43:D50)</f>
        <v>9120000</v>
      </c>
      <c r="F53" s="59"/>
      <c r="G53" s="60">
        <f>SUM(G43:G50)/COUNT(G43:G50)</f>
        <v>10.142857142857142</v>
      </c>
      <c r="H53" s="61">
        <f>SUM(H43:H50)/COUNT(H43:H50)</f>
        <v>60683825.580000006</v>
      </c>
      <c r="I53" s="61">
        <f>SUM(I43:I50)/COUNT(I43:I50)</f>
        <v>8573571.4285714291</v>
      </c>
      <c r="J53" s="48"/>
      <c r="K53" s="62">
        <f>SUM(K43:K50)/COUNT(K43:K50)</f>
        <v>-0.14285714285714285</v>
      </c>
      <c r="L53" s="63">
        <f>SUM(L43:L50)/COUNT(L43:L50)</f>
        <v>11954294.047142854</v>
      </c>
      <c r="M53" s="63">
        <f>SUM(M43:M50)/COUNT(M43:M50)</f>
        <v>546428.57142857148</v>
      </c>
    </row>
    <row r="55" spans="1:13" x14ac:dyDescent="0.3">
      <c r="A55" s="34" t="s">
        <v>71</v>
      </c>
      <c r="I55" s="78"/>
    </row>
    <row r="56" spans="1:13" ht="29.5" thickBot="1" x14ac:dyDescent="0.4">
      <c r="A56" s="76" t="s">
        <v>70</v>
      </c>
      <c r="B56" s="76" t="s">
        <v>69</v>
      </c>
      <c r="C56" s="76" t="s">
        <v>65</v>
      </c>
      <c r="D56" s="76"/>
      <c r="F56" s="76" t="s">
        <v>70</v>
      </c>
      <c r="G56" s="76" t="s">
        <v>69</v>
      </c>
      <c r="H56" s="76" t="s">
        <v>65</v>
      </c>
      <c r="I56" s="76" t="s">
        <v>74</v>
      </c>
      <c r="J56" s="77"/>
      <c r="K56" s="66" t="s">
        <v>78</v>
      </c>
      <c r="L56" s="67" t="s">
        <v>76</v>
      </c>
      <c r="M56" s="67" t="s">
        <v>77</v>
      </c>
    </row>
    <row r="57" spans="1:13" x14ac:dyDescent="0.3">
      <c r="A57" s="73">
        <v>43983</v>
      </c>
      <c r="B57" s="68">
        <v>1</v>
      </c>
      <c r="C57" s="74">
        <v>14331172.34</v>
      </c>
      <c r="D57" s="74"/>
      <c r="F57" s="73">
        <v>44352</v>
      </c>
      <c r="G57" s="68">
        <v>5</v>
      </c>
      <c r="H57" s="74">
        <f>H21</f>
        <v>56497548.600000001</v>
      </c>
      <c r="I57" s="69"/>
      <c r="J57" s="45"/>
      <c r="K57" s="68">
        <f>G57-B57</f>
        <v>4</v>
      </c>
      <c r="L57" s="69">
        <f>H57-C57</f>
        <v>42166376.260000005</v>
      </c>
      <c r="M57" s="69"/>
    </row>
    <row r="58" spans="1:13" x14ac:dyDescent="0.3">
      <c r="A58" s="73">
        <v>43624</v>
      </c>
      <c r="B58" s="68">
        <v>7</v>
      </c>
      <c r="C58" s="74">
        <v>67804040.150000006</v>
      </c>
      <c r="D58" s="74"/>
      <c r="F58" s="73">
        <v>44359</v>
      </c>
      <c r="G58" s="68">
        <v>7</v>
      </c>
      <c r="H58" s="74">
        <f>H22</f>
        <v>80149757.530000001</v>
      </c>
      <c r="I58" s="69"/>
      <c r="J58" s="45"/>
      <c r="K58" s="68">
        <f t="shared" ref="K58:L62" si="7">G58-B58</f>
        <v>0</v>
      </c>
      <c r="L58" s="69">
        <f t="shared" si="7"/>
        <v>12345717.379999995</v>
      </c>
      <c r="M58" s="69"/>
    </row>
    <row r="59" spans="1:13" x14ac:dyDescent="0.3">
      <c r="A59" s="73">
        <v>43631</v>
      </c>
      <c r="B59" s="68">
        <v>7</v>
      </c>
      <c r="C59" s="74">
        <v>63723831.32</v>
      </c>
      <c r="D59" s="74"/>
      <c r="F59" s="73">
        <v>44366</v>
      </c>
      <c r="G59" s="68">
        <v>7</v>
      </c>
      <c r="H59" s="74">
        <f>H23</f>
        <v>84062330.390000001</v>
      </c>
      <c r="I59" s="69"/>
      <c r="J59" s="45"/>
      <c r="K59" s="68">
        <f t="shared" si="7"/>
        <v>0</v>
      </c>
      <c r="L59" s="69">
        <f t="shared" si="7"/>
        <v>20338499.07</v>
      </c>
      <c r="M59" s="69"/>
    </row>
    <row r="60" spans="1:13" x14ac:dyDescent="0.3">
      <c r="A60" s="73">
        <v>43638</v>
      </c>
      <c r="B60" s="68">
        <v>7</v>
      </c>
      <c r="C60" s="74">
        <v>63587060.159999996</v>
      </c>
      <c r="D60" s="74"/>
      <c r="F60" s="73">
        <v>44373</v>
      </c>
      <c r="G60" s="68">
        <v>7</v>
      </c>
      <c r="H60" s="74">
        <f>H24</f>
        <v>55543074.780000001</v>
      </c>
      <c r="I60" s="69"/>
      <c r="J60" s="45"/>
      <c r="K60" s="68">
        <f t="shared" si="7"/>
        <v>0</v>
      </c>
      <c r="L60" s="69">
        <f t="shared" si="7"/>
        <v>-8043985.3799999952</v>
      </c>
      <c r="M60" s="69"/>
    </row>
    <row r="61" spans="1:13" x14ac:dyDescent="0.3">
      <c r="A61" s="73">
        <v>43645</v>
      </c>
      <c r="B61" s="68">
        <v>7</v>
      </c>
      <c r="C61" s="74">
        <v>60914451.420000002</v>
      </c>
      <c r="D61" s="74"/>
      <c r="F61" s="73">
        <v>44377</v>
      </c>
      <c r="G61" s="68">
        <v>4</v>
      </c>
      <c r="H61" s="74">
        <f>H25</f>
        <v>39487162.93</v>
      </c>
      <c r="I61" s="69"/>
      <c r="J61" s="45"/>
      <c r="K61" s="68">
        <f t="shared" si="7"/>
        <v>-3</v>
      </c>
      <c r="L61" s="69">
        <f t="shared" si="7"/>
        <v>-21427288.490000002</v>
      </c>
      <c r="M61" s="69"/>
    </row>
    <row r="62" spans="1:13" x14ac:dyDescent="0.3">
      <c r="A62" s="73">
        <v>43646</v>
      </c>
      <c r="B62" s="68">
        <v>1</v>
      </c>
      <c r="C62" s="74">
        <v>9236562.7899999991</v>
      </c>
      <c r="D62" s="74"/>
      <c r="F62" s="73"/>
      <c r="G62" s="68"/>
      <c r="H62" s="74"/>
      <c r="I62" s="69"/>
      <c r="J62" s="45"/>
      <c r="K62" s="68"/>
      <c r="L62" s="69">
        <f t="shared" si="7"/>
        <v>-9236562.7899999991</v>
      </c>
      <c r="M62" s="69"/>
    </row>
    <row r="63" spans="1:13" x14ac:dyDescent="0.3">
      <c r="A63" s="73"/>
      <c r="B63" s="68"/>
      <c r="C63" s="74"/>
      <c r="D63" s="74"/>
      <c r="F63" s="73"/>
      <c r="G63" s="68"/>
      <c r="H63" s="74"/>
      <c r="I63" s="69"/>
      <c r="J63" s="45"/>
      <c r="K63" s="68"/>
      <c r="L63" s="69"/>
      <c r="M63" s="69"/>
    </row>
    <row r="64" spans="1:13" ht="13.5" thickBot="1" x14ac:dyDescent="0.35">
      <c r="A64" s="75" t="s">
        <v>66</v>
      </c>
      <c r="B64" s="75">
        <f>SUM(B57:B63)</f>
        <v>30</v>
      </c>
      <c r="C64" s="70">
        <f>SUM(C57:C63)</f>
        <v>279597118.18000001</v>
      </c>
      <c r="D64" s="70"/>
      <c r="F64" s="75" t="s">
        <v>66</v>
      </c>
      <c r="G64" s="75">
        <f>SUM(G57:G63)</f>
        <v>30</v>
      </c>
      <c r="H64" s="70">
        <f>SUM(H57:H63)</f>
        <v>315739874.22999996</v>
      </c>
      <c r="I64" s="70"/>
      <c r="J64" s="46"/>
      <c r="K64" s="68">
        <f>SUM(K57:K63)</f>
        <v>1</v>
      </c>
      <c r="L64" s="70">
        <f>SUM(L57:L63)</f>
        <v>36142756.050000012</v>
      </c>
      <c r="M64" s="70"/>
    </row>
    <row r="65" spans="1:13" ht="13.5" thickTop="1" x14ac:dyDescent="0.3">
      <c r="A65" s="68"/>
      <c r="B65" s="68"/>
      <c r="C65" s="74"/>
      <c r="D65" s="74"/>
      <c r="F65" s="68"/>
      <c r="G65" s="68"/>
      <c r="H65" s="68"/>
      <c r="I65" s="68"/>
      <c r="K65" s="68"/>
      <c r="L65" s="68"/>
      <c r="M65" s="68"/>
    </row>
    <row r="66" spans="1:13" ht="13.5" thickBot="1" x14ac:dyDescent="0.35">
      <c r="A66" s="71" t="s">
        <v>67</v>
      </c>
      <c r="B66" s="71"/>
      <c r="C66" s="72">
        <f>C51+C64</f>
        <v>620703838.90999997</v>
      </c>
      <c r="D66" s="72"/>
      <c r="E66" s="41"/>
      <c r="F66" s="71" t="s">
        <v>67</v>
      </c>
      <c r="G66" s="71"/>
      <c r="H66" s="72">
        <f>H64+H51</f>
        <v>740526653.28999996</v>
      </c>
      <c r="I66" s="72"/>
      <c r="J66" s="46"/>
      <c r="K66" s="71"/>
      <c r="L66" s="72">
        <f>L64+L51</f>
        <v>119822814.38</v>
      </c>
      <c r="M66" s="72"/>
    </row>
    <row r="67" spans="1:13" ht="13.5" thickTop="1" x14ac:dyDescent="0.3"/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5C97-497C-4E39-870E-39885D4B82C2}">
  <dimension ref="A1:M71"/>
  <sheetViews>
    <sheetView topLeftCell="A7" workbookViewId="0">
      <selection activeCell="F21" sqref="F21:H26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5.6328125" style="35" customWidth="1"/>
    <col min="7" max="7" width="5.7265625" style="35" customWidth="1"/>
    <col min="8" max="8" width="14.6328125" style="35" bestFit="1" customWidth="1"/>
    <col min="9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50">
        <v>44197</v>
      </c>
      <c r="B3" s="49">
        <v>9</v>
      </c>
      <c r="C3" s="51">
        <v>55105685.539999999</v>
      </c>
      <c r="D3" s="42">
        <v>7180000</v>
      </c>
      <c r="F3" s="10">
        <v>44562</v>
      </c>
      <c r="G3" s="90">
        <v>10</v>
      </c>
      <c r="H3" s="51">
        <v>58155975.579999998</v>
      </c>
      <c r="I3" s="51">
        <v>7910000</v>
      </c>
      <c r="J3" s="45"/>
      <c r="K3" s="49">
        <f t="shared" ref="K3:L9" si="0">G3-B3</f>
        <v>1</v>
      </c>
      <c r="L3" s="38">
        <f t="shared" si="0"/>
        <v>3050290.0399999991</v>
      </c>
      <c r="M3" s="38">
        <f>D3-I3</f>
        <v>-730000</v>
      </c>
    </row>
    <row r="4" spans="1:13" ht="14.5" x14ac:dyDescent="0.35">
      <c r="A4" s="50">
        <v>44198</v>
      </c>
      <c r="B4" s="49">
        <v>9</v>
      </c>
      <c r="C4" s="51">
        <v>45651643</v>
      </c>
      <c r="D4" s="38">
        <v>6230000</v>
      </c>
      <c r="F4" s="10">
        <v>44569</v>
      </c>
      <c r="G4" s="93">
        <v>10</v>
      </c>
      <c r="H4" s="51">
        <v>61992719</v>
      </c>
      <c r="I4" s="51">
        <v>7180000</v>
      </c>
      <c r="J4" s="45"/>
      <c r="K4" s="49">
        <f t="shared" si="0"/>
        <v>1</v>
      </c>
      <c r="L4" s="38">
        <f t="shared" si="0"/>
        <v>16341076</v>
      </c>
      <c r="M4" s="38">
        <f t="shared" ref="M4:M9" si="1">D4-I4</f>
        <v>-950000</v>
      </c>
    </row>
    <row r="5" spans="1:13" ht="14.5" x14ac:dyDescent="0.35">
      <c r="A5" s="50">
        <v>44205</v>
      </c>
      <c r="B5" s="49">
        <v>10</v>
      </c>
      <c r="C5" s="51">
        <v>57442983.350000001</v>
      </c>
      <c r="D5" s="38">
        <v>6990000</v>
      </c>
      <c r="F5" s="10">
        <v>44576</v>
      </c>
      <c r="G5" s="93">
        <v>10</v>
      </c>
      <c r="H5" s="51">
        <v>58625902.539999999</v>
      </c>
      <c r="I5" s="51">
        <v>7410000</v>
      </c>
      <c r="J5" s="45"/>
      <c r="K5" s="49">
        <f t="shared" si="0"/>
        <v>0</v>
      </c>
      <c r="L5" s="38">
        <f t="shared" si="0"/>
        <v>1182919.1899999976</v>
      </c>
      <c r="M5" s="38">
        <f t="shared" si="1"/>
        <v>-420000</v>
      </c>
    </row>
    <row r="6" spans="1:13" ht="14.5" x14ac:dyDescent="0.35">
      <c r="A6" s="50">
        <v>44212</v>
      </c>
      <c r="B6" s="49">
        <v>10</v>
      </c>
      <c r="C6" s="51">
        <v>62009230</v>
      </c>
      <c r="D6" s="38">
        <v>7410000</v>
      </c>
      <c r="F6" s="10">
        <v>44577</v>
      </c>
      <c r="G6" s="93">
        <v>10</v>
      </c>
      <c r="H6" s="51">
        <v>46108387</v>
      </c>
      <c r="I6" s="51">
        <v>7210000</v>
      </c>
      <c r="J6" s="45"/>
      <c r="K6" s="49">
        <f t="shared" si="0"/>
        <v>0</v>
      </c>
      <c r="L6" s="38">
        <f t="shared" si="0"/>
        <v>-15900843</v>
      </c>
      <c r="M6" s="38">
        <f t="shared" si="1"/>
        <v>200000</v>
      </c>
    </row>
    <row r="7" spans="1:13" ht="14.5" x14ac:dyDescent="0.35">
      <c r="A7" s="50">
        <v>44219</v>
      </c>
      <c r="B7" s="49">
        <v>10</v>
      </c>
      <c r="C7" s="51">
        <v>63385877</v>
      </c>
      <c r="D7" s="38">
        <v>7060000</v>
      </c>
      <c r="F7" s="10">
        <v>44583</v>
      </c>
      <c r="G7" s="93">
        <v>9</v>
      </c>
      <c r="H7" s="51">
        <v>57967511</v>
      </c>
      <c r="I7" s="51">
        <v>6360000</v>
      </c>
      <c r="J7" s="45"/>
      <c r="K7" s="49">
        <f t="shared" si="0"/>
        <v>-1</v>
      </c>
      <c r="L7" s="38">
        <f t="shared" si="0"/>
        <v>-5418366</v>
      </c>
      <c r="M7" s="38">
        <f t="shared" si="1"/>
        <v>700000</v>
      </c>
    </row>
    <row r="8" spans="1:13" ht="14.5" x14ac:dyDescent="0.35">
      <c r="A8" s="50">
        <v>44226</v>
      </c>
      <c r="B8" s="49">
        <v>9</v>
      </c>
      <c r="C8" s="51">
        <v>52408921.090000004</v>
      </c>
      <c r="D8" s="38">
        <v>7530000</v>
      </c>
      <c r="F8" s="10">
        <v>44590</v>
      </c>
      <c r="G8" s="93">
        <v>10</v>
      </c>
      <c r="H8" s="51">
        <v>63625255</v>
      </c>
      <c r="I8" s="51">
        <v>7995000</v>
      </c>
      <c r="J8" s="45"/>
      <c r="K8" s="49">
        <f t="shared" si="0"/>
        <v>1</v>
      </c>
      <c r="L8" s="38">
        <f t="shared" si="0"/>
        <v>11216333.909999996</v>
      </c>
      <c r="M8" s="38">
        <f t="shared" si="1"/>
        <v>-465000</v>
      </c>
    </row>
    <row r="9" spans="1:13" ht="14.5" x14ac:dyDescent="0.35">
      <c r="A9" s="50">
        <v>44227</v>
      </c>
      <c r="B9" s="49">
        <v>11</v>
      </c>
      <c r="C9" s="51">
        <v>56256037</v>
      </c>
      <c r="D9" s="38">
        <v>7530000</v>
      </c>
      <c r="F9" s="10">
        <v>44591</v>
      </c>
      <c r="G9" s="107">
        <v>10</v>
      </c>
      <c r="H9" s="51">
        <v>62085630.390000001</v>
      </c>
      <c r="I9" s="108">
        <f>550000+670000+650000+920000+700000+670000+800000+700000+770000+1050000</f>
        <v>7480000</v>
      </c>
      <c r="J9" s="45"/>
      <c r="K9" s="49">
        <f t="shared" si="0"/>
        <v>-1</v>
      </c>
      <c r="L9" s="38">
        <f t="shared" si="0"/>
        <v>5829593.3900000006</v>
      </c>
      <c r="M9" s="38">
        <f t="shared" si="1"/>
        <v>50000</v>
      </c>
    </row>
    <row r="10" spans="1:13" ht="14.5" x14ac:dyDescent="0.35">
      <c r="A10" s="50"/>
      <c r="B10" s="49"/>
      <c r="C10" s="51"/>
      <c r="D10" s="38"/>
      <c r="F10" s="10"/>
      <c r="G10" s="93"/>
      <c r="H10" s="108"/>
      <c r="I10" s="51"/>
      <c r="J10" s="45"/>
      <c r="K10" s="49"/>
      <c r="L10" s="38"/>
      <c r="M10" s="38"/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68</v>
      </c>
      <c r="C12" s="39">
        <f>SUM(C3:C11)</f>
        <v>392260376.98000002</v>
      </c>
      <c r="D12" s="54">
        <f>SUM(D3:D11)</f>
        <v>49930000</v>
      </c>
      <c r="F12" s="52" t="s">
        <v>66</v>
      </c>
      <c r="G12" s="52">
        <f>SUM(G3:G11)</f>
        <v>69</v>
      </c>
      <c r="H12" s="39">
        <f>SUM(H3:H11)</f>
        <v>408561380.50999999</v>
      </c>
      <c r="I12" s="39">
        <f>SUM(I3:I11)</f>
        <v>51545000</v>
      </c>
      <c r="J12" s="46"/>
      <c r="K12" s="14">
        <f>G12-B12</f>
        <v>1</v>
      </c>
      <c r="L12" s="39">
        <f>SUM(L3:L11)</f>
        <v>16301003.529999994</v>
      </c>
      <c r="M12" s="39">
        <f>SUM(M3:M11)</f>
        <v>-1615000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>
        <f>SUM(B3:B11)/COUNT(B3:B11)</f>
        <v>9.7142857142857135</v>
      </c>
      <c r="C14" s="63">
        <f>SUM(C3:C11)/COUNT(C3:C11)</f>
        <v>56037196.711428575</v>
      </c>
      <c r="D14" s="63">
        <f>SUM(D3:D11)/COUNT(D3:D11)</f>
        <v>7132857.1428571427</v>
      </c>
      <c r="F14" s="59"/>
      <c r="G14" s="60">
        <f>SUM(G3:G11)/COUNT(G3:G11)</f>
        <v>9.8571428571428577</v>
      </c>
      <c r="H14" s="61">
        <f>SUM(H3:H11)/COUNT(H3:H11)</f>
        <v>58365911.501428567</v>
      </c>
      <c r="I14" s="61">
        <f>SUM(I3:I11)/COUNT(I3:I11)</f>
        <v>7363571.4285714282</v>
      </c>
      <c r="J14" s="48"/>
      <c r="K14" s="62">
        <f>SUM(K3:K11)/COUNT(K3:K11)</f>
        <v>0.14285714285714285</v>
      </c>
      <c r="L14" s="63">
        <f>SUM(L3:L11)/COUNT(L3:L11)</f>
        <v>2328714.7899999991</v>
      </c>
      <c r="M14" s="63">
        <f>SUM(M3:M11)/COUNT(M3:M11)</f>
        <v>-230714.28571428571</v>
      </c>
    </row>
    <row r="15" spans="1:13" x14ac:dyDescent="0.3">
      <c r="A15" s="83"/>
      <c r="B15" s="84"/>
      <c r="C15" s="85">
        <f>C14/B14</f>
        <v>5768534.9555882365</v>
      </c>
      <c r="D15" s="85"/>
      <c r="F15" s="83"/>
      <c r="G15" s="84"/>
      <c r="H15" s="85">
        <f>H14/G14</f>
        <v>5921179.4276811583</v>
      </c>
      <c r="I15" s="85"/>
      <c r="J15" s="48"/>
      <c r="K15" s="84"/>
      <c r="L15" s="85"/>
      <c r="M15" s="85"/>
    </row>
    <row r="16" spans="1:13" x14ac:dyDescent="0.3">
      <c r="A16" s="83"/>
      <c r="B16" s="84"/>
      <c r="C16" s="85"/>
      <c r="D16" s="85"/>
      <c r="F16" s="83"/>
      <c r="G16" s="84"/>
      <c r="H16" s="85"/>
      <c r="I16" s="85"/>
      <c r="J16" s="48"/>
      <c r="K16" s="84"/>
      <c r="L16" s="85"/>
      <c r="M16" s="85"/>
    </row>
    <row r="17" spans="1:13" x14ac:dyDescent="0.3">
      <c r="A17" s="83"/>
      <c r="B17" s="84"/>
      <c r="C17" s="85"/>
      <c r="D17" s="85"/>
      <c r="F17" s="83"/>
      <c r="G17" s="84"/>
      <c r="H17" s="85"/>
      <c r="I17" s="85"/>
      <c r="J17" s="48"/>
      <c r="K17" s="84"/>
      <c r="L17" s="85"/>
      <c r="M17" s="85"/>
    </row>
    <row r="18" spans="1:13" x14ac:dyDescent="0.3">
      <c r="H18" s="78"/>
    </row>
    <row r="19" spans="1:13" x14ac:dyDescent="0.3">
      <c r="A19" s="34" t="s">
        <v>71</v>
      </c>
    </row>
    <row r="20" spans="1:13" ht="29.5" thickBot="1" x14ac:dyDescent="0.4">
      <c r="A20" s="76" t="s">
        <v>70</v>
      </c>
      <c r="B20" s="76" t="s">
        <v>69</v>
      </c>
      <c r="C20" s="76" t="s">
        <v>65</v>
      </c>
      <c r="D20" s="76"/>
      <c r="F20" s="76" t="s">
        <v>70</v>
      </c>
      <c r="G20" s="76" t="s">
        <v>69</v>
      </c>
      <c r="H20" s="76" t="s">
        <v>65</v>
      </c>
      <c r="I20" s="76" t="s">
        <v>74</v>
      </c>
      <c r="J20" s="77"/>
      <c r="K20" s="66" t="s">
        <v>78</v>
      </c>
      <c r="L20" s="67" t="s">
        <v>76</v>
      </c>
      <c r="M20" s="67" t="s">
        <v>77</v>
      </c>
    </row>
    <row r="21" spans="1:13" x14ac:dyDescent="0.3">
      <c r="A21" s="73">
        <v>44198</v>
      </c>
      <c r="B21" s="68">
        <v>2</v>
      </c>
      <c r="C21" s="74">
        <v>28486958.710000001</v>
      </c>
      <c r="D21" s="74"/>
      <c r="F21" s="73">
        <v>44562</v>
      </c>
      <c r="G21" s="68">
        <v>1</v>
      </c>
      <c r="H21" s="74">
        <v>18516727.739999998</v>
      </c>
      <c r="I21" s="69"/>
      <c r="J21" s="45"/>
      <c r="K21" s="68">
        <f t="shared" ref="K21:L26" si="2">G21-B21</f>
        <v>-1</v>
      </c>
      <c r="L21" s="69">
        <f>H21-C21</f>
        <v>-9970230.9700000025</v>
      </c>
      <c r="M21" s="69"/>
    </row>
    <row r="22" spans="1:13" x14ac:dyDescent="0.3">
      <c r="A22" s="73">
        <v>44205</v>
      </c>
      <c r="B22" s="68">
        <v>7</v>
      </c>
      <c r="C22" s="74">
        <v>72590205.420000002</v>
      </c>
      <c r="D22" s="74"/>
      <c r="F22" s="73">
        <v>44569</v>
      </c>
      <c r="G22" s="68">
        <v>7</v>
      </c>
      <c r="H22" s="74">
        <f>58023307.58+18052064.55</f>
        <v>76075372.129999995</v>
      </c>
      <c r="I22" s="69"/>
      <c r="J22" s="45"/>
      <c r="K22" s="68">
        <f t="shared" si="2"/>
        <v>0</v>
      </c>
      <c r="L22" s="69">
        <f>H22-C22</f>
        <v>3485166.7099999934</v>
      </c>
      <c r="M22" s="69"/>
    </row>
    <row r="23" spans="1:13" x14ac:dyDescent="0.3">
      <c r="A23" s="73">
        <v>44212</v>
      </c>
      <c r="B23" s="68">
        <v>7</v>
      </c>
      <c r="C23" s="74">
        <v>77958045.989999995</v>
      </c>
      <c r="D23" s="74"/>
      <c r="F23" s="73">
        <v>44576</v>
      </c>
      <c r="G23" s="68">
        <v>7</v>
      </c>
      <c r="H23" s="74">
        <v>83381036.090000004</v>
      </c>
      <c r="I23" s="69"/>
      <c r="J23" s="45"/>
      <c r="K23" s="68">
        <f t="shared" si="2"/>
        <v>0</v>
      </c>
      <c r="L23" s="69">
        <f>H23-C23</f>
        <v>5422990.1000000089</v>
      </c>
      <c r="M23" s="69"/>
    </row>
    <row r="24" spans="1:13" x14ac:dyDescent="0.3">
      <c r="A24" s="73">
        <v>44219</v>
      </c>
      <c r="B24" s="68">
        <v>7</v>
      </c>
      <c r="C24" s="74">
        <v>92067546.019999996</v>
      </c>
      <c r="D24" s="74"/>
      <c r="F24" s="73">
        <v>44583</v>
      </c>
      <c r="G24" s="68">
        <v>7</v>
      </c>
      <c r="H24" s="74">
        <v>78558056.540000007</v>
      </c>
      <c r="I24" s="69"/>
      <c r="J24" s="45"/>
      <c r="K24" s="68">
        <f t="shared" si="2"/>
        <v>0</v>
      </c>
      <c r="L24" s="69">
        <f t="shared" si="2"/>
        <v>-13509489.479999989</v>
      </c>
      <c r="M24" s="69"/>
    </row>
    <row r="25" spans="1:13" x14ac:dyDescent="0.3">
      <c r="A25" s="73">
        <v>44226</v>
      </c>
      <c r="B25" s="68">
        <v>7</v>
      </c>
      <c r="C25" s="74">
        <v>71790363.280000001</v>
      </c>
      <c r="D25" s="74"/>
      <c r="F25" s="73">
        <v>44590</v>
      </c>
      <c r="G25" s="68">
        <v>7</v>
      </c>
      <c r="H25" s="74">
        <v>80065858</v>
      </c>
      <c r="I25" s="69"/>
      <c r="J25" s="45"/>
      <c r="K25" s="68">
        <f t="shared" si="2"/>
        <v>0</v>
      </c>
      <c r="L25" s="69">
        <f t="shared" si="2"/>
        <v>8275494.7199999988</v>
      </c>
      <c r="M25" s="69"/>
    </row>
    <row r="26" spans="1:13" x14ac:dyDescent="0.3">
      <c r="A26" s="73">
        <v>44227</v>
      </c>
      <c r="B26" s="68">
        <v>1</v>
      </c>
      <c r="C26" s="74">
        <v>10507015.439999999</v>
      </c>
      <c r="D26" s="74"/>
      <c r="F26" s="73">
        <v>44592</v>
      </c>
      <c r="G26" s="68">
        <v>2</v>
      </c>
      <c r="H26" s="74">
        <v>18802940.52</v>
      </c>
      <c r="I26" s="69"/>
      <c r="J26" s="45"/>
      <c r="K26" s="68"/>
      <c r="L26" s="69">
        <f t="shared" si="2"/>
        <v>8295925.0800000001</v>
      </c>
      <c r="M26" s="69"/>
    </row>
    <row r="27" spans="1:13" ht="14.5" x14ac:dyDescent="0.35">
      <c r="A27" s="73"/>
      <c r="B27" s="68"/>
      <c r="C27" s="87"/>
      <c r="D27" s="74"/>
      <c r="F27" s="73"/>
      <c r="G27" s="68"/>
      <c r="H27" s="100"/>
      <c r="I27" s="69"/>
      <c r="J27" s="45"/>
      <c r="K27" s="68"/>
      <c r="L27" s="69"/>
      <c r="M27" s="69"/>
    </row>
    <row r="28" spans="1:13" ht="13.5" thickBot="1" x14ac:dyDescent="0.35">
      <c r="A28" s="75" t="s">
        <v>66</v>
      </c>
      <c r="B28" s="75">
        <f>SUM(B21:B26)</f>
        <v>31</v>
      </c>
      <c r="C28" s="88">
        <f>SUM(C21:C26)</f>
        <v>353400134.85999995</v>
      </c>
      <c r="D28" s="70"/>
      <c r="F28" s="75" t="s">
        <v>66</v>
      </c>
      <c r="G28" s="75">
        <f>SUM(G21:G27)</f>
        <v>31</v>
      </c>
      <c r="H28" s="70">
        <f>SUM(H21:H27)</f>
        <v>355399991.01999998</v>
      </c>
      <c r="I28" s="70"/>
      <c r="J28" s="46"/>
      <c r="K28" s="68">
        <f>SUM(K21:K27)</f>
        <v>-1</v>
      </c>
      <c r="L28" s="70">
        <f>SUM(L21:L27)</f>
        <v>1999856.1600000095</v>
      </c>
      <c r="M28" s="70"/>
    </row>
    <row r="29" spans="1:13" ht="13.5" thickTop="1" x14ac:dyDescent="0.3">
      <c r="A29" s="68"/>
      <c r="B29" s="68"/>
      <c r="C29" s="74"/>
      <c r="D29" s="74"/>
      <c r="F29" s="68"/>
      <c r="G29" s="68"/>
      <c r="H29" s="68"/>
      <c r="I29" s="68"/>
      <c r="K29" s="68"/>
      <c r="L29" s="68"/>
      <c r="M29" s="68"/>
    </row>
    <row r="30" spans="1:13" ht="13.5" thickBot="1" x14ac:dyDescent="0.35">
      <c r="A30" s="71" t="s">
        <v>67</v>
      </c>
      <c r="B30" s="71"/>
      <c r="C30" s="72">
        <f>C12+C28</f>
        <v>745660511.83999991</v>
      </c>
      <c r="D30" s="72"/>
      <c r="E30" s="41"/>
      <c r="F30" s="71" t="s">
        <v>67</v>
      </c>
      <c r="G30" s="71"/>
      <c r="H30" s="72">
        <f>H28+H12</f>
        <v>763961371.52999997</v>
      </c>
      <c r="I30" s="72"/>
      <c r="J30" s="46"/>
      <c r="K30" s="71"/>
      <c r="L30" s="72">
        <f>L28+L12</f>
        <v>18300859.690000005</v>
      </c>
      <c r="M30" s="72"/>
    </row>
    <row r="31" spans="1:13" ht="13.5" thickTop="1" x14ac:dyDescent="0.3"/>
    <row r="37" spans="1:13" x14ac:dyDescent="0.3">
      <c r="C37" s="78"/>
    </row>
    <row r="41" spans="1:13" x14ac:dyDescent="0.3">
      <c r="C41" s="78"/>
    </row>
    <row r="42" spans="1:13" x14ac:dyDescent="0.3">
      <c r="H42" s="78"/>
      <c r="I42" s="78"/>
    </row>
    <row r="43" spans="1:13" x14ac:dyDescent="0.3">
      <c r="H43" s="78"/>
    </row>
    <row r="44" spans="1:13" x14ac:dyDescent="0.3">
      <c r="H44" s="78"/>
    </row>
    <row r="45" spans="1:13" x14ac:dyDescent="0.3">
      <c r="A45" s="34" t="s">
        <v>73</v>
      </c>
    </row>
    <row r="46" spans="1:13" ht="30" thickBot="1" x14ac:dyDescent="0.45">
      <c r="A46" s="37" t="s">
        <v>63</v>
      </c>
      <c r="B46" s="37" t="s">
        <v>64</v>
      </c>
      <c r="C46" s="37" t="s">
        <v>65</v>
      </c>
      <c r="D46" s="53" t="s">
        <v>74</v>
      </c>
      <c r="E46" s="36"/>
      <c r="F46" s="37" t="s">
        <v>63</v>
      </c>
      <c r="G46" s="37" t="s">
        <v>64</v>
      </c>
      <c r="H46" s="37" t="s">
        <v>65</v>
      </c>
      <c r="I46" s="18" t="s">
        <v>74</v>
      </c>
      <c r="J46" s="44"/>
      <c r="K46" s="64" t="s">
        <v>78</v>
      </c>
      <c r="L46" s="37" t="s">
        <v>76</v>
      </c>
      <c r="M46" s="37" t="s">
        <v>77</v>
      </c>
    </row>
    <row r="47" spans="1:13" ht="13.5" thickTop="1" x14ac:dyDescent="0.3">
      <c r="A47" s="50">
        <v>43617</v>
      </c>
      <c r="B47" s="49">
        <v>10</v>
      </c>
      <c r="C47" s="51">
        <v>49107482.100000001</v>
      </c>
      <c r="D47" s="51">
        <v>7700000</v>
      </c>
      <c r="F47" s="50">
        <f t="shared" ref="F47:I53" si="3">F3</f>
        <v>44562</v>
      </c>
      <c r="G47" s="49">
        <f t="shared" si="3"/>
        <v>10</v>
      </c>
      <c r="H47" s="51">
        <f t="shared" si="3"/>
        <v>58155975.579999998</v>
      </c>
      <c r="I47" s="51">
        <f t="shared" si="3"/>
        <v>7910000</v>
      </c>
      <c r="J47" s="45"/>
      <c r="K47" s="49">
        <f t="shared" ref="K47:L53" si="4">G47-B47</f>
        <v>0</v>
      </c>
      <c r="L47" s="38">
        <f t="shared" si="4"/>
        <v>9048493.4799999967</v>
      </c>
      <c r="M47" s="38">
        <f>D47-I47</f>
        <v>-210000</v>
      </c>
    </row>
    <row r="48" spans="1:13" x14ac:dyDescent="0.3">
      <c r="A48" s="50">
        <v>43621</v>
      </c>
      <c r="B48" s="49">
        <v>10</v>
      </c>
      <c r="C48" s="51">
        <v>42515706.219999999</v>
      </c>
      <c r="D48" s="51">
        <v>7810000</v>
      </c>
      <c r="F48" s="50">
        <f t="shared" si="3"/>
        <v>44569</v>
      </c>
      <c r="G48" s="49">
        <f t="shared" si="3"/>
        <v>10</v>
      </c>
      <c r="H48" s="51">
        <f t="shared" si="3"/>
        <v>61992719</v>
      </c>
      <c r="I48" s="51">
        <f t="shared" si="3"/>
        <v>7180000</v>
      </c>
      <c r="J48" s="45"/>
      <c r="K48" s="49">
        <f t="shared" si="4"/>
        <v>0</v>
      </c>
      <c r="L48" s="38">
        <f t="shared" si="4"/>
        <v>19477012.780000001</v>
      </c>
      <c r="M48" s="38">
        <f t="shared" ref="M48:M53" si="5">D48-I48</f>
        <v>630000</v>
      </c>
    </row>
    <row r="49" spans="1:13" x14ac:dyDescent="0.3">
      <c r="A49" s="50">
        <v>43624</v>
      </c>
      <c r="B49" s="49">
        <v>10</v>
      </c>
      <c r="C49" s="51">
        <v>45248004.640000001</v>
      </c>
      <c r="D49" s="51">
        <v>7330000</v>
      </c>
      <c r="F49" s="50">
        <f t="shared" si="3"/>
        <v>44576</v>
      </c>
      <c r="G49" s="49">
        <f t="shared" si="3"/>
        <v>10</v>
      </c>
      <c r="H49" s="51">
        <f t="shared" si="3"/>
        <v>58625902.539999999</v>
      </c>
      <c r="I49" s="51">
        <f t="shared" si="3"/>
        <v>7410000</v>
      </c>
      <c r="J49" s="45"/>
      <c r="K49" s="49">
        <f t="shared" si="4"/>
        <v>0</v>
      </c>
      <c r="L49" s="38">
        <f t="shared" si="4"/>
        <v>13377897.899999999</v>
      </c>
      <c r="M49" s="38">
        <f t="shared" si="5"/>
        <v>-80000</v>
      </c>
    </row>
    <row r="50" spans="1:13" x14ac:dyDescent="0.3">
      <c r="A50" s="50">
        <v>43631</v>
      </c>
      <c r="B50" s="49">
        <v>10</v>
      </c>
      <c r="C50" s="51">
        <v>48475378.57</v>
      </c>
      <c r="D50" s="51">
        <v>7680000</v>
      </c>
      <c r="F50" s="50">
        <f t="shared" si="3"/>
        <v>44577</v>
      </c>
      <c r="G50" s="49">
        <f t="shared" si="3"/>
        <v>10</v>
      </c>
      <c r="H50" s="51">
        <f t="shared" si="3"/>
        <v>46108387</v>
      </c>
      <c r="I50" s="51">
        <f t="shared" si="3"/>
        <v>7210000</v>
      </c>
      <c r="J50" s="45"/>
      <c r="K50" s="49">
        <f t="shared" si="4"/>
        <v>0</v>
      </c>
      <c r="L50" s="38">
        <f t="shared" si="4"/>
        <v>-2366991.5700000003</v>
      </c>
      <c r="M50" s="38">
        <f t="shared" si="5"/>
        <v>470000</v>
      </c>
    </row>
    <row r="51" spans="1:13" x14ac:dyDescent="0.3">
      <c r="A51" s="50">
        <v>43638</v>
      </c>
      <c r="B51" s="49">
        <v>10</v>
      </c>
      <c r="C51" s="51">
        <v>50247806.390000001</v>
      </c>
      <c r="D51" s="51">
        <v>7240000</v>
      </c>
      <c r="F51" s="50">
        <f t="shared" si="3"/>
        <v>44583</v>
      </c>
      <c r="G51" s="49">
        <f t="shared" si="3"/>
        <v>9</v>
      </c>
      <c r="H51" s="51">
        <f t="shared" si="3"/>
        <v>57967511</v>
      </c>
      <c r="I51" s="51">
        <f t="shared" si="3"/>
        <v>6360000</v>
      </c>
      <c r="J51" s="45"/>
      <c r="K51" s="49">
        <f t="shared" si="4"/>
        <v>-1</v>
      </c>
      <c r="L51" s="38">
        <f t="shared" si="4"/>
        <v>7719704.6099999994</v>
      </c>
      <c r="M51" s="38">
        <f t="shared" si="5"/>
        <v>880000</v>
      </c>
    </row>
    <row r="52" spans="1:13" x14ac:dyDescent="0.3">
      <c r="A52" s="50">
        <v>43645</v>
      </c>
      <c r="B52" s="49">
        <v>12</v>
      </c>
      <c r="C52" s="51">
        <v>62733026.039999999</v>
      </c>
      <c r="D52" s="51">
        <v>17950000</v>
      </c>
      <c r="F52" s="50">
        <f t="shared" si="3"/>
        <v>44590</v>
      </c>
      <c r="G52" s="49">
        <f t="shared" si="3"/>
        <v>10</v>
      </c>
      <c r="H52" s="51">
        <f t="shared" si="3"/>
        <v>63625255</v>
      </c>
      <c r="I52" s="51">
        <f t="shared" si="3"/>
        <v>7995000</v>
      </c>
      <c r="J52" s="45"/>
      <c r="K52" s="49">
        <f t="shared" si="4"/>
        <v>-2</v>
      </c>
      <c r="L52" s="38">
        <f t="shared" si="4"/>
        <v>892228.96000000089</v>
      </c>
      <c r="M52" s="38">
        <f t="shared" si="5"/>
        <v>9955000</v>
      </c>
    </row>
    <row r="53" spans="1:13" x14ac:dyDescent="0.3">
      <c r="A53" s="50">
        <v>43646</v>
      </c>
      <c r="B53" s="49">
        <v>10</v>
      </c>
      <c r="C53" s="80">
        <v>42779316.770000003</v>
      </c>
      <c r="D53" s="51">
        <v>8130000</v>
      </c>
      <c r="F53" s="50">
        <f t="shared" si="3"/>
        <v>44591</v>
      </c>
      <c r="G53" s="49">
        <f t="shared" si="3"/>
        <v>10</v>
      </c>
      <c r="H53" s="51">
        <f t="shared" si="3"/>
        <v>62085630.390000001</v>
      </c>
      <c r="I53" s="51">
        <f t="shared" si="3"/>
        <v>7480000</v>
      </c>
      <c r="J53" s="45"/>
      <c r="K53" s="49">
        <f t="shared" si="4"/>
        <v>0</v>
      </c>
      <c r="L53" s="38">
        <f t="shared" si="4"/>
        <v>19306313.619999997</v>
      </c>
      <c r="M53" s="38">
        <f t="shared" si="5"/>
        <v>650000</v>
      </c>
    </row>
    <row r="54" spans="1:13" x14ac:dyDescent="0.3">
      <c r="A54" s="50"/>
      <c r="B54" s="49"/>
      <c r="C54" s="51"/>
      <c r="D54" s="51"/>
      <c r="F54" s="50"/>
      <c r="G54" s="49"/>
      <c r="H54" s="51"/>
      <c r="I54" s="43"/>
      <c r="J54" s="45"/>
      <c r="K54" s="49"/>
      <c r="L54" s="38"/>
      <c r="M54" s="38"/>
    </row>
    <row r="55" spans="1:13" ht="15" thickBot="1" x14ac:dyDescent="0.4">
      <c r="A55" s="52" t="s">
        <v>66</v>
      </c>
      <c r="B55" s="52">
        <f>SUM(B47:B54)</f>
        <v>72</v>
      </c>
      <c r="C55" s="39">
        <f>SUM(C47:C54)</f>
        <v>341106720.72999996</v>
      </c>
      <c r="D55" s="54">
        <f>SUM(D47:D54)</f>
        <v>63840000</v>
      </c>
      <c r="F55" s="52" t="s">
        <v>66</v>
      </c>
      <c r="G55" s="52">
        <f>SUM(G47:G54)</f>
        <v>69</v>
      </c>
      <c r="H55" s="39">
        <f>SUM(H47:H54)</f>
        <v>408561380.50999999</v>
      </c>
      <c r="I55" s="39">
        <f>SUM(I47:I54)</f>
        <v>51545000</v>
      </c>
      <c r="J55" s="46"/>
      <c r="K55" s="14">
        <f>G55-B55</f>
        <v>-3</v>
      </c>
      <c r="L55" s="39">
        <f>SUM(L47:L54)</f>
        <v>67454659.780000001</v>
      </c>
      <c r="M55" s="39">
        <f>SUM(M47:M54)</f>
        <v>12295000</v>
      </c>
    </row>
    <row r="56" spans="1:13" ht="13.5" thickTop="1" x14ac:dyDescent="0.3">
      <c r="A56" s="49" t="s">
        <v>75</v>
      </c>
      <c r="B56" s="55"/>
      <c r="C56" s="40"/>
      <c r="D56" s="40"/>
      <c r="F56" s="58"/>
      <c r="G56" s="56"/>
      <c r="H56" s="57"/>
      <c r="I56" s="57"/>
      <c r="J56" s="46"/>
      <c r="K56" s="49"/>
      <c r="L56" s="40"/>
      <c r="M56" s="40"/>
    </row>
    <row r="57" spans="1:13" x14ac:dyDescent="0.3">
      <c r="A57" s="65" t="s">
        <v>72</v>
      </c>
      <c r="B57" s="62">
        <f>SUM(B47:B54)/COUNT(B47:B54)</f>
        <v>10.285714285714286</v>
      </c>
      <c r="C57" s="63">
        <f>SUM(C47:C54)/COUNT(C47:C54)</f>
        <v>48729531.532857135</v>
      </c>
      <c r="D57" s="63">
        <f>SUM(D47:D54)/COUNT(D47:D54)</f>
        <v>9120000</v>
      </c>
      <c r="F57" s="59"/>
      <c r="G57" s="60">
        <f>SUM(G47:G54)/COUNT(G47:G54)</f>
        <v>9.8571428571428577</v>
      </c>
      <c r="H57" s="61">
        <f>SUM(H47:H54)/COUNT(H47:H54)</f>
        <v>58365911.501428567</v>
      </c>
      <c r="I57" s="61">
        <f>SUM(I47:I54)/COUNT(I47:I54)</f>
        <v>7363571.4285714282</v>
      </c>
      <c r="J57" s="48"/>
      <c r="K57" s="62">
        <f>SUM(K47:K54)/COUNT(K47:K54)</f>
        <v>-0.42857142857142855</v>
      </c>
      <c r="L57" s="63">
        <f>SUM(L47:L54)/COUNT(L47:L54)</f>
        <v>9636379.9685714282</v>
      </c>
      <c r="M57" s="63">
        <f>SUM(M47:M54)/COUNT(M47:M54)</f>
        <v>1756428.5714285714</v>
      </c>
    </row>
    <row r="59" spans="1:13" x14ac:dyDescent="0.3">
      <c r="A59" s="34" t="s">
        <v>71</v>
      </c>
      <c r="I59" s="78"/>
    </row>
    <row r="60" spans="1:13" ht="29.5" thickBot="1" x14ac:dyDescent="0.4">
      <c r="A60" s="76" t="s">
        <v>70</v>
      </c>
      <c r="B60" s="76" t="s">
        <v>69</v>
      </c>
      <c r="C60" s="76" t="s">
        <v>65</v>
      </c>
      <c r="D60" s="76"/>
      <c r="F60" s="76" t="s">
        <v>70</v>
      </c>
      <c r="G60" s="76" t="s">
        <v>69</v>
      </c>
      <c r="H60" s="76" t="s">
        <v>65</v>
      </c>
      <c r="I60" s="76" t="s">
        <v>74</v>
      </c>
      <c r="J60" s="77"/>
      <c r="K60" s="66" t="s">
        <v>78</v>
      </c>
      <c r="L60" s="67" t="s">
        <v>76</v>
      </c>
      <c r="M60" s="67" t="s">
        <v>77</v>
      </c>
    </row>
    <row r="61" spans="1:13" x14ac:dyDescent="0.3">
      <c r="A61" s="73">
        <v>43983</v>
      </c>
      <c r="B61" s="68">
        <v>1</v>
      </c>
      <c r="C61" s="74">
        <v>14331172.34</v>
      </c>
      <c r="D61" s="74"/>
      <c r="F61" s="73">
        <v>44352</v>
      </c>
      <c r="G61" s="68">
        <v>5</v>
      </c>
      <c r="H61" s="74">
        <f>H21</f>
        <v>18516727.739999998</v>
      </c>
      <c r="I61" s="69"/>
      <c r="J61" s="45"/>
      <c r="K61" s="68">
        <f>G61-B61</f>
        <v>4</v>
      </c>
      <c r="L61" s="69">
        <f>H61-C61</f>
        <v>4185555.3999999985</v>
      </c>
      <c r="M61" s="69"/>
    </row>
    <row r="62" spans="1:13" x14ac:dyDescent="0.3">
      <c r="A62" s="73">
        <v>43624</v>
      </c>
      <c r="B62" s="68">
        <v>7</v>
      </c>
      <c r="C62" s="74">
        <v>67804040.150000006</v>
      </c>
      <c r="D62" s="74"/>
      <c r="F62" s="73">
        <v>44359</v>
      </c>
      <c r="G62" s="68">
        <v>7</v>
      </c>
      <c r="H62" s="74">
        <f>H22</f>
        <v>76075372.129999995</v>
      </c>
      <c r="I62" s="69"/>
      <c r="J62" s="45"/>
      <c r="K62" s="68">
        <f t="shared" ref="K62:L66" si="6">G62-B62</f>
        <v>0</v>
      </c>
      <c r="L62" s="69">
        <f t="shared" si="6"/>
        <v>8271331.9799999893</v>
      </c>
      <c r="M62" s="69"/>
    </row>
    <row r="63" spans="1:13" x14ac:dyDescent="0.3">
      <c r="A63" s="73">
        <v>43631</v>
      </c>
      <c r="B63" s="68">
        <v>7</v>
      </c>
      <c r="C63" s="74">
        <v>63723831.32</v>
      </c>
      <c r="D63" s="74"/>
      <c r="F63" s="73">
        <v>44366</v>
      </c>
      <c r="G63" s="68">
        <v>7</v>
      </c>
      <c r="H63" s="74">
        <f>H23</f>
        <v>83381036.090000004</v>
      </c>
      <c r="I63" s="69"/>
      <c r="J63" s="45"/>
      <c r="K63" s="68">
        <f t="shared" si="6"/>
        <v>0</v>
      </c>
      <c r="L63" s="69">
        <f t="shared" si="6"/>
        <v>19657204.770000003</v>
      </c>
      <c r="M63" s="69"/>
    </row>
    <row r="64" spans="1:13" x14ac:dyDescent="0.3">
      <c r="A64" s="73">
        <v>43638</v>
      </c>
      <c r="B64" s="68">
        <v>7</v>
      </c>
      <c r="C64" s="74">
        <v>63587060.159999996</v>
      </c>
      <c r="D64" s="74"/>
      <c r="F64" s="73">
        <v>44373</v>
      </c>
      <c r="G64" s="68">
        <v>7</v>
      </c>
      <c r="H64" s="74">
        <f>H24</f>
        <v>78558056.540000007</v>
      </c>
      <c r="I64" s="69"/>
      <c r="J64" s="45"/>
      <c r="K64" s="68">
        <f t="shared" si="6"/>
        <v>0</v>
      </c>
      <c r="L64" s="69">
        <f t="shared" si="6"/>
        <v>14970996.38000001</v>
      </c>
      <c r="M64" s="69"/>
    </row>
    <row r="65" spans="1:13" x14ac:dyDescent="0.3">
      <c r="A65" s="73">
        <v>43645</v>
      </c>
      <c r="B65" s="68">
        <v>7</v>
      </c>
      <c r="C65" s="74">
        <v>60914451.420000002</v>
      </c>
      <c r="D65" s="74"/>
      <c r="F65" s="73">
        <v>44377</v>
      </c>
      <c r="G65" s="68">
        <v>4</v>
      </c>
      <c r="H65" s="74">
        <f>H25</f>
        <v>80065858</v>
      </c>
      <c r="I65" s="69"/>
      <c r="J65" s="45"/>
      <c r="K65" s="68">
        <f t="shared" si="6"/>
        <v>-3</v>
      </c>
      <c r="L65" s="69">
        <f t="shared" si="6"/>
        <v>19151406.579999998</v>
      </c>
      <c r="M65" s="69"/>
    </row>
    <row r="66" spans="1:13" x14ac:dyDescent="0.3">
      <c r="A66" s="73">
        <v>43646</v>
      </c>
      <c r="B66" s="68">
        <v>1</v>
      </c>
      <c r="C66" s="74">
        <v>9236562.7899999991</v>
      </c>
      <c r="D66" s="74"/>
      <c r="F66" s="73"/>
      <c r="G66" s="68"/>
      <c r="H66" s="74"/>
      <c r="I66" s="69"/>
      <c r="J66" s="45"/>
      <c r="K66" s="68"/>
      <c r="L66" s="69">
        <f t="shared" si="6"/>
        <v>-9236562.7899999991</v>
      </c>
      <c r="M66" s="69"/>
    </row>
    <row r="67" spans="1:13" x14ac:dyDescent="0.3">
      <c r="A67" s="73"/>
      <c r="B67" s="68"/>
      <c r="C67" s="74"/>
      <c r="D67" s="74"/>
      <c r="F67" s="73"/>
      <c r="G67" s="68"/>
      <c r="H67" s="74"/>
      <c r="I67" s="69"/>
      <c r="J67" s="45"/>
      <c r="K67" s="68"/>
      <c r="L67" s="69"/>
      <c r="M67" s="69"/>
    </row>
    <row r="68" spans="1:13" ht="13.5" thickBot="1" x14ac:dyDescent="0.35">
      <c r="A68" s="75" t="s">
        <v>66</v>
      </c>
      <c r="B68" s="75">
        <f>SUM(B61:B67)</f>
        <v>30</v>
      </c>
      <c r="C68" s="70">
        <f>SUM(C61:C67)</f>
        <v>279597118.18000001</v>
      </c>
      <c r="D68" s="70"/>
      <c r="F68" s="75" t="s">
        <v>66</v>
      </c>
      <c r="G68" s="75">
        <f>SUM(G61:G67)</f>
        <v>30</v>
      </c>
      <c r="H68" s="70">
        <f>SUM(H61:H67)</f>
        <v>336597050.5</v>
      </c>
      <c r="I68" s="70"/>
      <c r="J68" s="46"/>
      <c r="K68" s="68">
        <f>SUM(K61:K67)</f>
        <v>1</v>
      </c>
      <c r="L68" s="70">
        <f>SUM(L61:L67)</f>
        <v>56999932.32</v>
      </c>
      <c r="M68" s="70"/>
    </row>
    <row r="69" spans="1:13" ht="13.5" thickTop="1" x14ac:dyDescent="0.3">
      <c r="A69" s="68"/>
      <c r="B69" s="68"/>
      <c r="C69" s="74"/>
      <c r="D69" s="74"/>
      <c r="F69" s="68"/>
      <c r="G69" s="68"/>
      <c r="H69" s="68"/>
      <c r="I69" s="68"/>
      <c r="K69" s="68"/>
      <c r="L69" s="68"/>
      <c r="M69" s="68"/>
    </row>
    <row r="70" spans="1:13" ht="13.5" thickBot="1" x14ac:dyDescent="0.35">
      <c r="A70" s="71" t="s">
        <v>67</v>
      </c>
      <c r="B70" s="71"/>
      <c r="C70" s="72">
        <f>C55+C68</f>
        <v>620703838.90999997</v>
      </c>
      <c r="D70" s="72"/>
      <c r="E70" s="41"/>
      <c r="F70" s="71" t="s">
        <v>67</v>
      </c>
      <c r="G70" s="71"/>
      <c r="H70" s="72">
        <f>H68+H55</f>
        <v>745158431.00999999</v>
      </c>
      <c r="I70" s="72"/>
      <c r="J70" s="46"/>
      <c r="K70" s="71"/>
      <c r="L70" s="72">
        <f>L68+L55</f>
        <v>124454592.09999999</v>
      </c>
      <c r="M70" s="72"/>
    </row>
    <row r="71" spans="1:13" ht="13.5" thickTop="1" x14ac:dyDescent="0.3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8717-E2E8-44DD-A2B7-9AFD124BDB25}">
  <dimension ref="A1:M67"/>
  <sheetViews>
    <sheetView workbookViewId="0">
      <selection activeCell="F16" sqref="F16:H20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6.7265625" style="35" bestFit="1" customWidth="1"/>
    <col min="7" max="7" width="5.7265625" style="35" customWidth="1"/>
    <col min="8" max="8" width="14.6328125" style="35" bestFit="1" customWidth="1"/>
    <col min="9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50">
        <v>44233</v>
      </c>
      <c r="B3" s="49">
        <v>10</v>
      </c>
      <c r="C3" s="51">
        <v>50741998</v>
      </c>
      <c r="D3" s="42">
        <f>800000+690000+720000+620000+500000+650000+620000+900000+870000+1000000</f>
        <v>7370000</v>
      </c>
      <c r="F3" s="10">
        <v>44597</v>
      </c>
      <c r="G3" s="90">
        <v>10</v>
      </c>
      <c r="H3" s="51">
        <v>63534387</v>
      </c>
      <c r="I3" s="51">
        <v>8330000</v>
      </c>
      <c r="J3" s="45"/>
      <c r="K3" s="49">
        <f t="shared" ref="K3:L9" si="0">G3-B3</f>
        <v>0</v>
      </c>
      <c r="L3" s="38">
        <f t="shared" si="0"/>
        <v>12792389</v>
      </c>
      <c r="M3" s="38">
        <f>D3-I3</f>
        <v>-960000</v>
      </c>
    </row>
    <row r="4" spans="1:13" ht="14.5" x14ac:dyDescent="0.35">
      <c r="A4" s="50">
        <v>44234</v>
      </c>
      <c r="B4" s="49">
        <v>9</v>
      </c>
      <c r="C4" s="51">
        <v>52115064</v>
      </c>
      <c r="D4" s="38">
        <v>6000000</v>
      </c>
      <c r="F4" s="10">
        <v>44598</v>
      </c>
      <c r="G4" s="93">
        <v>9</v>
      </c>
      <c r="H4" s="51">
        <v>47141867</v>
      </c>
      <c r="I4" s="51">
        <v>6910000</v>
      </c>
      <c r="J4" s="45"/>
      <c r="K4" s="49">
        <f t="shared" si="0"/>
        <v>0</v>
      </c>
      <c r="L4" s="38">
        <f t="shared" si="0"/>
        <v>-4973197</v>
      </c>
      <c r="M4" s="38">
        <f t="shared" ref="M4:M9" si="1">D4-I4</f>
        <v>-910000</v>
      </c>
    </row>
    <row r="5" spans="1:13" ht="14.5" x14ac:dyDescent="0.35">
      <c r="A5" s="50">
        <v>44240</v>
      </c>
      <c r="B5" s="49">
        <v>10</v>
      </c>
      <c r="C5" s="51">
        <v>58469888</v>
      </c>
      <c r="D5" s="38">
        <v>7490000</v>
      </c>
      <c r="F5" s="10">
        <v>44604</v>
      </c>
      <c r="G5" s="93">
        <v>9</v>
      </c>
      <c r="H5" s="51">
        <v>59362372</v>
      </c>
      <c r="I5" s="51">
        <v>6690000</v>
      </c>
      <c r="J5" s="45"/>
      <c r="K5" s="49">
        <f t="shared" si="0"/>
        <v>-1</v>
      </c>
      <c r="L5" s="38">
        <f t="shared" si="0"/>
        <v>892484</v>
      </c>
      <c r="M5" s="38">
        <f t="shared" si="1"/>
        <v>800000</v>
      </c>
    </row>
    <row r="6" spans="1:13" ht="14.5" x14ac:dyDescent="0.35">
      <c r="A6" s="50">
        <v>44244</v>
      </c>
      <c r="B6" s="49">
        <v>11</v>
      </c>
      <c r="C6" s="51">
        <v>56822944</v>
      </c>
      <c r="D6" s="38">
        <v>10900000</v>
      </c>
      <c r="F6" s="10">
        <v>44605</v>
      </c>
      <c r="G6" s="93">
        <v>9</v>
      </c>
      <c r="H6" s="51">
        <v>45515620.520000003</v>
      </c>
      <c r="I6" s="51">
        <v>7230000</v>
      </c>
      <c r="J6" s="45"/>
      <c r="K6" s="49">
        <f t="shared" si="0"/>
        <v>-2</v>
      </c>
      <c r="L6" s="38">
        <f t="shared" si="0"/>
        <v>-11307323.479999997</v>
      </c>
      <c r="M6" s="38">
        <f t="shared" si="1"/>
        <v>3670000</v>
      </c>
    </row>
    <row r="7" spans="1:13" ht="14.5" x14ac:dyDescent="0.35">
      <c r="A7" s="50">
        <v>44247</v>
      </c>
      <c r="B7" s="49">
        <v>9</v>
      </c>
      <c r="C7" s="51">
        <v>57426389.590000004</v>
      </c>
      <c r="D7" s="38">
        <v>6390000</v>
      </c>
      <c r="F7" s="10">
        <v>44611</v>
      </c>
      <c r="G7" s="93">
        <v>10</v>
      </c>
      <c r="H7" s="51">
        <v>61567348</v>
      </c>
      <c r="I7" s="51">
        <v>7660000</v>
      </c>
      <c r="J7" s="45"/>
      <c r="K7" s="49">
        <f t="shared" si="0"/>
        <v>1</v>
      </c>
      <c r="L7" s="38">
        <f t="shared" si="0"/>
        <v>4140958.4099999964</v>
      </c>
      <c r="M7" s="38">
        <f t="shared" si="1"/>
        <v>-1270000</v>
      </c>
    </row>
    <row r="8" spans="1:13" ht="14.5" x14ac:dyDescent="0.35">
      <c r="A8" s="50">
        <v>44254</v>
      </c>
      <c r="B8" s="49">
        <v>9</v>
      </c>
      <c r="C8" s="51">
        <v>53635641.439999998</v>
      </c>
      <c r="D8" s="38">
        <v>6590000</v>
      </c>
      <c r="F8" s="10">
        <v>44612</v>
      </c>
      <c r="G8" s="93">
        <v>9</v>
      </c>
      <c r="H8" s="51">
        <v>55370845</v>
      </c>
      <c r="I8" s="51">
        <f>650000+730000+730000+800000+650000+740000+1050000+670000+920000</f>
        <v>6940000</v>
      </c>
      <c r="J8" s="45"/>
      <c r="K8" s="49">
        <f t="shared" si="0"/>
        <v>0</v>
      </c>
      <c r="L8" s="38">
        <f t="shared" si="0"/>
        <v>1735203.5600000024</v>
      </c>
      <c r="M8" s="38">
        <f t="shared" si="1"/>
        <v>-350000</v>
      </c>
    </row>
    <row r="9" spans="1:13" ht="14.5" x14ac:dyDescent="0.35">
      <c r="A9" s="50">
        <v>44255</v>
      </c>
      <c r="B9" s="49">
        <v>9</v>
      </c>
      <c r="C9" s="51">
        <v>54760663.479999997</v>
      </c>
      <c r="D9" s="38">
        <v>6250000</v>
      </c>
      <c r="F9" s="10">
        <v>44618</v>
      </c>
      <c r="G9" s="107">
        <v>10</v>
      </c>
      <c r="H9" s="51">
        <v>73918760</v>
      </c>
      <c r="I9" s="108">
        <v>8310000</v>
      </c>
      <c r="J9" s="45"/>
      <c r="K9" s="49">
        <f t="shared" si="0"/>
        <v>1</v>
      </c>
      <c r="L9" s="38">
        <f t="shared" si="0"/>
        <v>19158096.520000003</v>
      </c>
      <c r="M9" s="38">
        <f t="shared" si="1"/>
        <v>-2060000</v>
      </c>
    </row>
    <row r="10" spans="1:13" x14ac:dyDescent="0.3">
      <c r="A10" s="50"/>
      <c r="B10" s="49"/>
      <c r="C10" s="51"/>
      <c r="D10" s="51"/>
      <c r="F10" s="50"/>
      <c r="G10" s="49"/>
      <c r="H10" s="51"/>
      <c r="I10" s="43"/>
      <c r="J10" s="45"/>
      <c r="K10" s="49"/>
      <c r="L10" s="38"/>
      <c r="M10" s="38"/>
    </row>
    <row r="11" spans="1:13" ht="15" thickBot="1" x14ac:dyDescent="0.4">
      <c r="A11" s="52" t="s">
        <v>66</v>
      </c>
      <c r="B11" s="52">
        <f>SUM(B3:B10)</f>
        <v>67</v>
      </c>
      <c r="C11" s="39">
        <f>SUM(C3:C10)</f>
        <v>383972588.51000005</v>
      </c>
      <c r="D11" s="54">
        <f>SUM(D3:D10)</f>
        <v>50990000</v>
      </c>
      <c r="F11" s="52" t="s">
        <v>66</v>
      </c>
      <c r="G11" s="52">
        <f>SUM(G3:G10)</f>
        <v>66</v>
      </c>
      <c r="H11" s="39">
        <f>SUM(H3:H10)</f>
        <v>406411199.51999998</v>
      </c>
      <c r="I11" s="39">
        <f>SUM(I3:I10)</f>
        <v>52070000</v>
      </c>
      <c r="J11" s="46"/>
      <c r="K11" s="14">
        <f>G11-B11</f>
        <v>-1</v>
      </c>
      <c r="L11" s="39">
        <f>SUM(L3:L10)</f>
        <v>22438611.010000005</v>
      </c>
      <c r="M11" s="39">
        <f>SUM(M3:M10)</f>
        <v>-1080000</v>
      </c>
    </row>
    <row r="12" spans="1:13" ht="13.5" thickTop="1" x14ac:dyDescent="0.3">
      <c r="A12" s="65" t="s">
        <v>72</v>
      </c>
      <c r="B12" s="62">
        <f>SUM(B3:B10)/COUNT(B3:B10)</f>
        <v>9.5714285714285712</v>
      </c>
      <c r="C12" s="63">
        <f>SUM(C3:C10)/COUNT(C3:C10)</f>
        <v>54853226.930000007</v>
      </c>
      <c r="D12" s="63">
        <f>SUM(D3:D10)/COUNT(D3:D10)</f>
        <v>7284285.7142857146</v>
      </c>
      <c r="F12" s="59"/>
      <c r="G12" s="60">
        <f>SUM(G3:G10)/COUNT(G3:G10)</f>
        <v>9.4285714285714288</v>
      </c>
      <c r="H12" s="61">
        <f>SUM(H3:H10)/COUNT(H3:H10)</f>
        <v>58058742.788571425</v>
      </c>
      <c r="I12" s="61">
        <f>SUM(I3:I10)/COUNT(I3:I10)</f>
        <v>7438571.4285714282</v>
      </c>
      <c r="J12" s="48"/>
      <c r="K12" s="62">
        <f>SUM(K3:K10)/COUNT(K3:K10)</f>
        <v>-0.14285714285714285</v>
      </c>
      <c r="L12" s="63">
        <f>SUM(L3:L10)/COUNT(L3:L10)</f>
        <v>3205515.8585714293</v>
      </c>
      <c r="M12" s="63">
        <f>SUM(M3:M10)/COUNT(M3:M10)</f>
        <v>-154285.71428571429</v>
      </c>
    </row>
    <row r="13" spans="1:13" x14ac:dyDescent="0.3">
      <c r="H13" s="78"/>
    </row>
    <row r="14" spans="1:13" x14ac:dyDescent="0.3">
      <c r="A14" s="34" t="s">
        <v>71</v>
      </c>
    </row>
    <row r="15" spans="1:13" ht="29.5" thickBot="1" x14ac:dyDescent="0.4">
      <c r="A15" s="76" t="s">
        <v>70</v>
      </c>
      <c r="B15" s="76" t="s">
        <v>69</v>
      </c>
      <c r="C15" s="76" t="s">
        <v>65</v>
      </c>
      <c r="D15" s="76"/>
      <c r="F15" s="76" t="s">
        <v>70</v>
      </c>
      <c r="G15" s="76" t="s">
        <v>69</v>
      </c>
      <c r="H15" s="76" t="s">
        <v>65</v>
      </c>
      <c r="I15" s="76" t="s">
        <v>74</v>
      </c>
      <c r="J15" s="77"/>
      <c r="K15" s="66" t="s">
        <v>78</v>
      </c>
      <c r="L15" s="67" t="s">
        <v>76</v>
      </c>
      <c r="M15" s="67" t="s">
        <v>77</v>
      </c>
    </row>
    <row r="16" spans="1:13" x14ac:dyDescent="0.3">
      <c r="A16" s="73">
        <v>44233</v>
      </c>
      <c r="B16" s="68">
        <v>6</v>
      </c>
      <c r="C16" s="74">
        <v>61086362.920000002</v>
      </c>
      <c r="D16" s="74"/>
      <c r="F16" s="73">
        <v>44597</v>
      </c>
      <c r="G16" s="68">
        <v>5</v>
      </c>
      <c r="H16" s="74">
        <v>68390355.260000005</v>
      </c>
      <c r="I16" s="69"/>
      <c r="J16" s="45"/>
      <c r="K16" s="68">
        <f t="shared" ref="K16:L20" si="2">G16-B16</f>
        <v>-1</v>
      </c>
      <c r="L16" s="69">
        <f>H16-C16</f>
        <v>7303992.3400000036</v>
      </c>
      <c r="M16" s="69"/>
    </row>
    <row r="17" spans="1:13" x14ac:dyDescent="0.3">
      <c r="A17" s="73">
        <v>44240</v>
      </c>
      <c r="B17" s="68">
        <v>7</v>
      </c>
      <c r="C17" s="74">
        <v>61545113.270000003</v>
      </c>
      <c r="D17" s="74"/>
      <c r="F17" s="73">
        <v>44604</v>
      </c>
      <c r="G17" s="68">
        <v>7</v>
      </c>
      <c r="H17" s="74">
        <f>82504072.88</f>
        <v>82504072.879999995</v>
      </c>
      <c r="I17" s="69"/>
      <c r="J17" s="45"/>
      <c r="K17" s="68">
        <f t="shared" si="2"/>
        <v>0</v>
      </c>
      <c r="L17" s="69">
        <f>H17-C17</f>
        <v>20958959.609999992</v>
      </c>
      <c r="M17" s="69"/>
    </row>
    <row r="18" spans="1:13" x14ac:dyDescent="0.3">
      <c r="A18" s="73">
        <v>44247</v>
      </c>
      <c r="B18" s="68">
        <v>7</v>
      </c>
      <c r="C18" s="74">
        <v>54996557.869999997</v>
      </c>
      <c r="D18" s="74"/>
      <c r="F18" s="73">
        <v>44611</v>
      </c>
      <c r="G18" s="68">
        <v>7</v>
      </c>
      <c r="H18" s="74">
        <v>79714143.859999999</v>
      </c>
      <c r="I18" s="69"/>
      <c r="J18" s="45"/>
      <c r="K18" s="68">
        <f t="shared" si="2"/>
        <v>0</v>
      </c>
      <c r="L18" s="69">
        <f>H18-C18</f>
        <v>24717585.990000002</v>
      </c>
      <c r="M18" s="69"/>
    </row>
    <row r="19" spans="1:13" x14ac:dyDescent="0.3">
      <c r="A19" s="73">
        <v>44254</v>
      </c>
      <c r="B19" s="68">
        <v>7</v>
      </c>
      <c r="C19" s="74">
        <v>66276576.359999999</v>
      </c>
      <c r="D19" s="74"/>
      <c r="F19" s="73">
        <v>44618</v>
      </c>
      <c r="G19" s="68">
        <v>7</v>
      </c>
      <c r="H19" s="74">
        <v>87441734.819999993</v>
      </c>
      <c r="I19" s="69"/>
      <c r="J19" s="45"/>
      <c r="K19" s="68">
        <f t="shared" si="2"/>
        <v>0</v>
      </c>
      <c r="L19" s="69">
        <f t="shared" si="2"/>
        <v>21165158.459999993</v>
      </c>
      <c r="M19" s="69"/>
    </row>
    <row r="20" spans="1:13" x14ac:dyDescent="0.3">
      <c r="A20" s="73">
        <v>44255</v>
      </c>
      <c r="B20" s="68">
        <v>1</v>
      </c>
      <c r="C20" s="74">
        <v>11155340.310000001</v>
      </c>
      <c r="D20" s="74"/>
      <c r="F20" s="73">
        <v>44620</v>
      </c>
      <c r="G20" s="68">
        <v>2</v>
      </c>
      <c r="H20" s="74">
        <f>8329880.4+12191734.29</f>
        <v>20521614.689999998</v>
      </c>
      <c r="I20" s="69"/>
      <c r="J20" s="45"/>
      <c r="K20" s="68">
        <f t="shared" si="2"/>
        <v>1</v>
      </c>
      <c r="L20" s="69">
        <f t="shared" si="2"/>
        <v>9366274.3799999971</v>
      </c>
      <c r="M20" s="69"/>
    </row>
    <row r="21" spans="1:13" x14ac:dyDescent="0.3">
      <c r="A21" s="73"/>
      <c r="B21" s="68"/>
      <c r="C21" s="74"/>
      <c r="D21" s="74"/>
      <c r="F21" s="73"/>
      <c r="G21" s="68"/>
      <c r="H21" s="106"/>
      <c r="I21" s="69"/>
      <c r="J21" s="45"/>
      <c r="K21" s="68"/>
      <c r="L21" s="69"/>
      <c r="M21" s="69"/>
    </row>
    <row r="22" spans="1:13" ht="14.5" x14ac:dyDescent="0.3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35">
      <c r="A23" s="75" t="s">
        <v>66</v>
      </c>
      <c r="B23" s="75">
        <f>SUM(B16:B21)</f>
        <v>28</v>
      </c>
      <c r="C23" s="88">
        <f>SUM(C16:C21)</f>
        <v>255059950.73000002</v>
      </c>
      <c r="D23" s="70"/>
      <c r="F23" s="75" t="s">
        <v>66</v>
      </c>
      <c r="G23" s="75">
        <f>SUM(G16:G22)</f>
        <v>28</v>
      </c>
      <c r="H23" s="70">
        <f>SUM(H16:H22)</f>
        <v>338571921.50999999</v>
      </c>
      <c r="I23" s="70"/>
      <c r="J23" s="46"/>
      <c r="K23" s="68">
        <f>SUM(K16:K22)</f>
        <v>0</v>
      </c>
      <c r="L23" s="70">
        <f>SUM(L16:L22)</f>
        <v>83511970.779999986</v>
      </c>
      <c r="M23" s="70"/>
    </row>
    <row r="24" spans="1:13" ht="13.5" thickTop="1" x14ac:dyDescent="0.3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35">
      <c r="A25" s="71" t="s">
        <v>67</v>
      </c>
      <c r="B25" s="71"/>
      <c r="C25" s="72">
        <f>C11+C23</f>
        <v>639032539.24000001</v>
      </c>
      <c r="D25" s="72"/>
      <c r="E25" s="41"/>
      <c r="F25" s="71" t="s">
        <v>67</v>
      </c>
      <c r="G25" s="71"/>
      <c r="H25" s="72">
        <f>H23+H11</f>
        <v>744983121.02999997</v>
      </c>
      <c r="I25" s="72"/>
      <c r="J25" s="46"/>
      <c r="K25" s="71"/>
      <c r="L25" s="72">
        <f>L23+L11</f>
        <v>105950581.78999999</v>
      </c>
      <c r="M25" s="72"/>
    </row>
    <row r="26" spans="1:13" ht="13.5" thickTop="1" x14ac:dyDescent="0.3"/>
    <row r="28" spans="1:13" x14ac:dyDescent="0.3">
      <c r="C28" s="78"/>
    </row>
    <row r="29" spans="1:13" x14ac:dyDescent="0.3">
      <c r="C29" s="78"/>
    </row>
    <row r="30" spans="1:13" x14ac:dyDescent="0.3">
      <c r="C30" s="78"/>
    </row>
    <row r="31" spans="1:13" x14ac:dyDescent="0.3">
      <c r="C31" s="78"/>
    </row>
    <row r="32" spans="1:13" x14ac:dyDescent="0.3">
      <c r="C32" s="78"/>
    </row>
    <row r="33" spans="1:13" x14ac:dyDescent="0.3">
      <c r="C33" s="78"/>
    </row>
    <row r="37" spans="1:13" x14ac:dyDescent="0.3">
      <c r="C37" s="78"/>
    </row>
    <row r="38" spans="1:13" x14ac:dyDescent="0.3">
      <c r="H38" s="78"/>
      <c r="I38" s="78"/>
    </row>
    <row r="39" spans="1:13" x14ac:dyDescent="0.3">
      <c r="H39" s="78"/>
    </row>
    <row r="40" spans="1:13" x14ac:dyDescent="0.3">
      <c r="H40" s="78"/>
    </row>
    <row r="41" spans="1:13" x14ac:dyDescent="0.3">
      <c r="A41" s="34" t="s">
        <v>73</v>
      </c>
    </row>
    <row r="42" spans="1:13" ht="30" thickBot="1" x14ac:dyDescent="0.45">
      <c r="A42" s="37" t="s">
        <v>63</v>
      </c>
      <c r="B42" s="37" t="s">
        <v>64</v>
      </c>
      <c r="C42" s="37" t="s">
        <v>65</v>
      </c>
      <c r="D42" s="53" t="s">
        <v>74</v>
      </c>
      <c r="E42" s="36"/>
      <c r="F42" s="37" t="s">
        <v>63</v>
      </c>
      <c r="G42" s="37" t="s">
        <v>64</v>
      </c>
      <c r="H42" s="37" t="s">
        <v>65</v>
      </c>
      <c r="I42" s="18" t="s">
        <v>74</v>
      </c>
      <c r="J42" s="44"/>
      <c r="K42" s="64" t="s">
        <v>78</v>
      </c>
      <c r="L42" s="37" t="s">
        <v>76</v>
      </c>
      <c r="M42" s="37" t="s">
        <v>77</v>
      </c>
    </row>
    <row r="43" spans="1:13" ht="13.5" thickTop="1" x14ac:dyDescent="0.3">
      <c r="A43" s="50">
        <v>43617</v>
      </c>
      <c r="B43" s="49">
        <v>10</v>
      </c>
      <c r="C43" s="51">
        <v>49107482.100000001</v>
      </c>
      <c r="D43" s="51">
        <v>7700000</v>
      </c>
      <c r="F43" s="50">
        <f t="shared" ref="F43:I45" si="3">F3</f>
        <v>44597</v>
      </c>
      <c r="G43" s="49">
        <f t="shared" si="3"/>
        <v>10</v>
      </c>
      <c r="H43" s="51">
        <f t="shared" si="3"/>
        <v>63534387</v>
      </c>
      <c r="I43" s="51">
        <f t="shared" si="3"/>
        <v>8330000</v>
      </c>
      <c r="J43" s="45"/>
      <c r="K43" s="49">
        <f t="shared" ref="K43:L49" si="4">G43-B43</f>
        <v>0</v>
      </c>
      <c r="L43" s="38">
        <f t="shared" si="4"/>
        <v>14426904.899999999</v>
      </c>
      <c r="M43" s="38">
        <f>D43-I43</f>
        <v>-630000</v>
      </c>
    </row>
    <row r="44" spans="1:13" x14ac:dyDescent="0.3">
      <c r="A44" s="50">
        <v>43621</v>
      </c>
      <c r="B44" s="49">
        <v>10</v>
      </c>
      <c r="C44" s="51">
        <v>42515706.219999999</v>
      </c>
      <c r="D44" s="51">
        <v>7810000</v>
      </c>
      <c r="F44" s="50">
        <f t="shared" si="3"/>
        <v>44598</v>
      </c>
      <c r="G44" s="49">
        <f t="shared" si="3"/>
        <v>9</v>
      </c>
      <c r="H44" s="51">
        <f t="shared" si="3"/>
        <v>47141867</v>
      </c>
      <c r="I44" s="51">
        <f t="shared" si="3"/>
        <v>6910000</v>
      </c>
      <c r="J44" s="45"/>
      <c r="K44" s="49">
        <f t="shared" si="4"/>
        <v>-1</v>
      </c>
      <c r="L44" s="38">
        <f t="shared" si="4"/>
        <v>4626160.7800000012</v>
      </c>
      <c r="M44" s="38">
        <f t="shared" ref="M44:M49" si="5">D44-I44</f>
        <v>900000</v>
      </c>
    </row>
    <row r="45" spans="1:13" x14ac:dyDescent="0.3">
      <c r="A45" s="50">
        <v>43624</v>
      </c>
      <c r="B45" s="49">
        <v>10</v>
      </c>
      <c r="C45" s="51">
        <v>45248004.640000001</v>
      </c>
      <c r="D45" s="51">
        <v>7330000</v>
      </c>
      <c r="F45" s="50">
        <f t="shared" si="3"/>
        <v>44604</v>
      </c>
      <c r="G45" s="49">
        <f t="shared" si="3"/>
        <v>9</v>
      </c>
      <c r="H45" s="51">
        <f t="shared" si="3"/>
        <v>59362372</v>
      </c>
      <c r="I45" s="51">
        <f t="shared" si="3"/>
        <v>6690000</v>
      </c>
      <c r="J45" s="45"/>
      <c r="K45" s="49">
        <f t="shared" si="4"/>
        <v>-1</v>
      </c>
      <c r="L45" s="38">
        <f t="shared" si="4"/>
        <v>14114367.359999999</v>
      </c>
      <c r="M45" s="38">
        <f t="shared" si="5"/>
        <v>640000</v>
      </c>
    </row>
    <row r="46" spans="1:13" x14ac:dyDescent="0.3">
      <c r="A46" s="50">
        <v>43631</v>
      </c>
      <c r="B46" s="49">
        <v>10</v>
      </c>
      <c r="C46" s="51">
        <v>48475378.57</v>
      </c>
      <c r="D46" s="51">
        <v>7680000</v>
      </c>
      <c r="F46" s="50">
        <f t="shared" ref="F46:G49" si="6">F6</f>
        <v>44605</v>
      </c>
      <c r="G46" s="49">
        <f t="shared" si="6"/>
        <v>9</v>
      </c>
      <c r="H46" s="51">
        <v>45515620.520000003</v>
      </c>
      <c r="I46" s="51">
        <f>I6</f>
        <v>7230000</v>
      </c>
      <c r="J46" s="45"/>
      <c r="K46" s="49">
        <f t="shared" si="4"/>
        <v>-1</v>
      </c>
      <c r="L46" s="38">
        <f t="shared" si="4"/>
        <v>-2959758.049999997</v>
      </c>
      <c r="M46" s="38">
        <f t="shared" si="5"/>
        <v>450000</v>
      </c>
    </row>
    <row r="47" spans="1:13" x14ac:dyDescent="0.3">
      <c r="A47" s="50">
        <v>43638</v>
      </c>
      <c r="B47" s="49">
        <v>10</v>
      </c>
      <c r="C47" s="51">
        <v>50247806.390000001</v>
      </c>
      <c r="D47" s="51">
        <v>7240000</v>
      </c>
      <c r="F47" s="50">
        <f t="shared" si="6"/>
        <v>44611</v>
      </c>
      <c r="G47" s="49">
        <f t="shared" si="6"/>
        <v>10</v>
      </c>
      <c r="H47" s="51">
        <f>H7</f>
        <v>61567348</v>
      </c>
      <c r="I47" s="51">
        <f>I7</f>
        <v>7660000</v>
      </c>
      <c r="J47" s="45"/>
      <c r="K47" s="49">
        <f t="shared" si="4"/>
        <v>0</v>
      </c>
      <c r="L47" s="38">
        <f t="shared" si="4"/>
        <v>11319541.609999999</v>
      </c>
      <c r="M47" s="38">
        <f t="shared" si="5"/>
        <v>-420000</v>
      </c>
    </row>
    <row r="48" spans="1:13" x14ac:dyDescent="0.3">
      <c r="A48" s="50">
        <v>43645</v>
      </c>
      <c r="B48" s="49">
        <v>12</v>
      </c>
      <c r="C48" s="51">
        <v>62733026.039999999</v>
      </c>
      <c r="D48" s="51">
        <v>17950000</v>
      </c>
      <c r="F48" s="50">
        <f t="shared" si="6"/>
        <v>44612</v>
      </c>
      <c r="G48" s="49">
        <f t="shared" si="6"/>
        <v>9</v>
      </c>
      <c r="H48" s="51">
        <f>H8</f>
        <v>55370845</v>
      </c>
      <c r="I48" s="51">
        <f>I8</f>
        <v>6940000</v>
      </c>
      <c r="J48" s="45"/>
      <c r="K48" s="49">
        <f t="shared" si="4"/>
        <v>-3</v>
      </c>
      <c r="L48" s="38">
        <f t="shared" si="4"/>
        <v>-7362181.0399999991</v>
      </c>
      <c r="M48" s="38">
        <f t="shared" si="5"/>
        <v>11010000</v>
      </c>
    </row>
    <row r="49" spans="1:13" x14ac:dyDescent="0.3">
      <c r="A49" s="50">
        <v>43646</v>
      </c>
      <c r="B49" s="49">
        <v>10</v>
      </c>
      <c r="C49" s="80">
        <v>42779316.770000003</v>
      </c>
      <c r="D49" s="51">
        <v>8130000</v>
      </c>
      <c r="F49" s="50">
        <f t="shared" si="6"/>
        <v>44618</v>
      </c>
      <c r="G49" s="49">
        <f t="shared" si="6"/>
        <v>10</v>
      </c>
      <c r="H49" s="51">
        <f>H9</f>
        <v>73918760</v>
      </c>
      <c r="I49" s="51">
        <f>I9</f>
        <v>8310000</v>
      </c>
      <c r="J49" s="45"/>
      <c r="K49" s="49">
        <f t="shared" si="4"/>
        <v>0</v>
      </c>
      <c r="L49" s="38">
        <f t="shared" si="4"/>
        <v>31139443.229999997</v>
      </c>
      <c r="M49" s="38">
        <f t="shared" si="5"/>
        <v>-180000</v>
      </c>
    </row>
    <row r="50" spans="1:13" x14ac:dyDescent="0.3">
      <c r="A50" s="50"/>
      <c r="B50" s="49"/>
      <c r="C50" s="51"/>
      <c r="D50" s="51"/>
      <c r="F50" s="50"/>
      <c r="G50" s="49"/>
      <c r="H50" s="51"/>
      <c r="I50" s="43"/>
      <c r="J50" s="45"/>
      <c r="K50" s="49"/>
      <c r="L50" s="38"/>
      <c r="M50" s="38"/>
    </row>
    <row r="51" spans="1:13" ht="15" thickBot="1" x14ac:dyDescent="0.4">
      <c r="A51" s="52" t="s">
        <v>66</v>
      </c>
      <c r="B51" s="52">
        <f>SUM(B43:B50)</f>
        <v>72</v>
      </c>
      <c r="C51" s="39">
        <f>SUM(C43:C50)</f>
        <v>341106720.72999996</v>
      </c>
      <c r="D51" s="54">
        <f>SUM(D43:D50)</f>
        <v>63840000</v>
      </c>
      <c r="F51" s="52" t="s">
        <v>66</v>
      </c>
      <c r="G51" s="52">
        <f>SUM(G43:G50)</f>
        <v>66</v>
      </c>
      <c r="H51" s="39">
        <f>SUM(H43:H50)</f>
        <v>406411199.51999998</v>
      </c>
      <c r="I51" s="39">
        <f>SUM(I43:I50)</f>
        <v>52070000</v>
      </c>
      <c r="J51" s="46"/>
      <c r="K51" s="14">
        <f>G51-B51</f>
        <v>-6</v>
      </c>
      <c r="L51" s="39">
        <f>SUM(L43:L50)</f>
        <v>65304478.789999999</v>
      </c>
      <c r="M51" s="39">
        <f>SUM(M43:M50)</f>
        <v>11770000</v>
      </c>
    </row>
    <row r="52" spans="1:13" ht="13.5" thickTop="1" x14ac:dyDescent="0.3">
      <c r="A52" s="49" t="s">
        <v>75</v>
      </c>
      <c r="B52" s="55"/>
      <c r="C52" s="40"/>
      <c r="D52" s="40"/>
      <c r="F52" s="58"/>
      <c r="G52" s="56"/>
      <c r="H52" s="57"/>
      <c r="I52" s="57"/>
      <c r="J52" s="46"/>
      <c r="K52" s="49"/>
      <c r="L52" s="40"/>
      <c r="M52" s="40"/>
    </row>
    <row r="53" spans="1:13" x14ac:dyDescent="0.3">
      <c r="A53" s="65" t="s">
        <v>72</v>
      </c>
      <c r="B53" s="62">
        <f>SUM(B43:B50)/COUNT(B43:B50)</f>
        <v>10.285714285714286</v>
      </c>
      <c r="C53" s="63">
        <f>SUM(C43:C50)/COUNT(C43:C50)</f>
        <v>48729531.532857135</v>
      </c>
      <c r="D53" s="63">
        <f>SUM(D43:D50)/COUNT(D43:D50)</f>
        <v>9120000</v>
      </c>
      <c r="F53" s="59"/>
      <c r="G53" s="60">
        <f>SUM(G43:G50)/COUNT(G43:G50)</f>
        <v>9.4285714285714288</v>
      </c>
      <c r="H53" s="61">
        <f>SUM(H43:H50)/COUNT(H43:H50)</f>
        <v>58058742.788571425</v>
      </c>
      <c r="I53" s="61">
        <f>SUM(I43:I50)/COUNT(I43:I50)</f>
        <v>7438571.4285714282</v>
      </c>
      <c r="J53" s="48"/>
      <c r="K53" s="62">
        <f>SUM(K43:K50)/COUNT(K43:K50)</f>
        <v>-0.8571428571428571</v>
      </c>
      <c r="L53" s="63">
        <f>SUM(L43:L50)/COUNT(L43:L50)</f>
        <v>9329211.2557142861</v>
      </c>
      <c r="M53" s="63">
        <f>SUM(M43:M50)/COUNT(M43:M50)</f>
        <v>1681428.5714285714</v>
      </c>
    </row>
    <row r="55" spans="1:13" x14ac:dyDescent="0.3">
      <c r="A55" s="34" t="s">
        <v>71</v>
      </c>
      <c r="I55" s="78"/>
    </row>
    <row r="56" spans="1:13" ht="29.5" thickBot="1" x14ac:dyDescent="0.4">
      <c r="A56" s="76" t="s">
        <v>70</v>
      </c>
      <c r="B56" s="76" t="s">
        <v>69</v>
      </c>
      <c r="C56" s="76" t="s">
        <v>65</v>
      </c>
      <c r="D56" s="76"/>
      <c r="F56" s="76" t="s">
        <v>70</v>
      </c>
      <c r="G56" s="76" t="s">
        <v>69</v>
      </c>
      <c r="H56" s="76" t="s">
        <v>65</v>
      </c>
      <c r="I56" s="76" t="s">
        <v>74</v>
      </c>
      <c r="J56" s="77"/>
      <c r="K56" s="66" t="s">
        <v>78</v>
      </c>
      <c r="L56" s="67" t="s">
        <v>76</v>
      </c>
      <c r="M56" s="67" t="s">
        <v>77</v>
      </c>
    </row>
    <row r="57" spans="1:13" x14ac:dyDescent="0.3">
      <c r="A57" s="73">
        <v>43983</v>
      </c>
      <c r="B57" s="68">
        <v>1</v>
      </c>
      <c r="C57" s="74">
        <v>14331172.34</v>
      </c>
      <c r="D57" s="74"/>
      <c r="F57" s="73">
        <v>44352</v>
      </c>
      <c r="G57" s="68">
        <v>5</v>
      </c>
      <c r="H57" s="74">
        <f>H16</f>
        <v>68390355.260000005</v>
      </c>
      <c r="I57" s="69"/>
      <c r="J57" s="45"/>
      <c r="K57" s="68">
        <f>G57-B57</f>
        <v>4</v>
      </c>
      <c r="L57" s="69">
        <f>H57-C57</f>
        <v>54059182.920000002</v>
      </c>
      <c r="M57" s="69"/>
    </row>
    <row r="58" spans="1:13" x14ac:dyDescent="0.3">
      <c r="A58" s="73">
        <v>43624</v>
      </c>
      <c r="B58" s="68">
        <v>7</v>
      </c>
      <c r="C58" s="74">
        <v>67804040.150000006</v>
      </c>
      <c r="D58" s="74"/>
      <c r="F58" s="73">
        <v>44359</v>
      </c>
      <c r="G58" s="68">
        <v>7</v>
      </c>
      <c r="H58" s="74">
        <f>H17</f>
        <v>82504072.879999995</v>
      </c>
      <c r="I58" s="69"/>
      <c r="J58" s="45"/>
      <c r="K58" s="68">
        <f t="shared" ref="K58:L62" si="7">G58-B58</f>
        <v>0</v>
      </c>
      <c r="L58" s="69">
        <f t="shared" si="7"/>
        <v>14700032.729999989</v>
      </c>
      <c r="M58" s="69"/>
    </row>
    <row r="59" spans="1:13" x14ac:dyDescent="0.3">
      <c r="A59" s="73">
        <v>43631</v>
      </c>
      <c r="B59" s="68">
        <v>7</v>
      </c>
      <c r="C59" s="74">
        <v>63723831.32</v>
      </c>
      <c r="D59" s="74"/>
      <c r="F59" s="73">
        <v>44366</v>
      </c>
      <c r="G59" s="68">
        <v>7</v>
      </c>
      <c r="H59" s="74">
        <f>H18</f>
        <v>79714143.859999999</v>
      </c>
      <c r="I59" s="69"/>
      <c r="J59" s="45"/>
      <c r="K59" s="68">
        <f t="shared" si="7"/>
        <v>0</v>
      </c>
      <c r="L59" s="69">
        <f t="shared" si="7"/>
        <v>15990312.539999999</v>
      </c>
      <c r="M59" s="69"/>
    </row>
    <row r="60" spans="1:13" x14ac:dyDescent="0.3">
      <c r="A60" s="73">
        <v>43638</v>
      </c>
      <c r="B60" s="68">
        <v>7</v>
      </c>
      <c r="C60" s="74">
        <v>63587060.159999996</v>
      </c>
      <c r="D60" s="74"/>
      <c r="F60" s="73">
        <v>44373</v>
      </c>
      <c r="G60" s="68">
        <v>7</v>
      </c>
      <c r="H60" s="74">
        <f>H19</f>
        <v>87441734.819999993</v>
      </c>
      <c r="I60" s="69"/>
      <c r="J60" s="45"/>
      <c r="K60" s="68">
        <f t="shared" si="7"/>
        <v>0</v>
      </c>
      <c r="L60" s="69">
        <f t="shared" si="7"/>
        <v>23854674.659999996</v>
      </c>
      <c r="M60" s="69"/>
    </row>
    <row r="61" spans="1:13" x14ac:dyDescent="0.3">
      <c r="A61" s="73">
        <v>43645</v>
      </c>
      <c r="B61" s="68">
        <v>7</v>
      </c>
      <c r="C61" s="74">
        <v>60914451.420000002</v>
      </c>
      <c r="D61" s="74"/>
      <c r="F61" s="73">
        <v>44377</v>
      </c>
      <c r="G61" s="68">
        <v>4</v>
      </c>
      <c r="H61" s="74">
        <f>H20</f>
        <v>20521614.689999998</v>
      </c>
      <c r="I61" s="69"/>
      <c r="J61" s="45"/>
      <c r="K61" s="68">
        <f t="shared" si="7"/>
        <v>-3</v>
      </c>
      <c r="L61" s="69">
        <f t="shared" si="7"/>
        <v>-40392836.730000004</v>
      </c>
      <c r="M61" s="69"/>
    </row>
    <row r="62" spans="1:13" x14ac:dyDescent="0.3">
      <c r="A62" s="73">
        <v>43646</v>
      </c>
      <c r="B62" s="68">
        <v>1</v>
      </c>
      <c r="C62" s="74">
        <v>9236562.7899999991</v>
      </c>
      <c r="D62" s="74"/>
      <c r="F62" s="73"/>
      <c r="G62" s="68"/>
      <c r="H62" s="74"/>
      <c r="I62" s="69"/>
      <c r="J62" s="45"/>
      <c r="K62" s="68"/>
      <c r="L62" s="69">
        <f t="shared" si="7"/>
        <v>-9236562.7899999991</v>
      </c>
      <c r="M62" s="69"/>
    </row>
    <row r="63" spans="1:13" x14ac:dyDescent="0.3">
      <c r="A63" s="73"/>
      <c r="B63" s="68"/>
      <c r="C63" s="74"/>
      <c r="D63" s="74"/>
      <c r="F63" s="73"/>
      <c r="G63" s="68"/>
      <c r="H63" s="74"/>
      <c r="I63" s="69"/>
      <c r="J63" s="45"/>
      <c r="K63" s="68"/>
      <c r="L63" s="69"/>
      <c r="M63" s="69"/>
    </row>
    <row r="64" spans="1:13" ht="13.5" thickBot="1" x14ac:dyDescent="0.35">
      <c r="A64" s="75" t="s">
        <v>66</v>
      </c>
      <c r="B64" s="75">
        <f>SUM(B57:B63)</f>
        <v>30</v>
      </c>
      <c r="C64" s="70">
        <f>SUM(C57:C63)</f>
        <v>279597118.18000001</v>
      </c>
      <c r="D64" s="70"/>
      <c r="F64" s="75" t="s">
        <v>66</v>
      </c>
      <c r="G64" s="75">
        <f>SUM(G57:G63)</f>
        <v>30</v>
      </c>
      <c r="H64" s="70">
        <f>SUM(H57:H63)</f>
        <v>338571921.50999999</v>
      </c>
      <c r="I64" s="70"/>
      <c r="J64" s="46"/>
      <c r="K64" s="68">
        <f>SUM(K57:K63)</f>
        <v>1</v>
      </c>
      <c r="L64" s="70">
        <f>SUM(L57:L63)</f>
        <v>58974803.329999991</v>
      </c>
      <c r="M64" s="70"/>
    </row>
    <row r="65" spans="1:13" ht="13.5" thickTop="1" x14ac:dyDescent="0.3">
      <c r="A65" s="68"/>
      <c r="B65" s="68"/>
      <c r="C65" s="74"/>
      <c r="D65" s="74"/>
      <c r="F65" s="68"/>
      <c r="G65" s="68"/>
      <c r="H65" s="68"/>
      <c r="I65" s="68"/>
      <c r="K65" s="68"/>
      <c r="L65" s="68"/>
      <c r="M65" s="68"/>
    </row>
    <row r="66" spans="1:13" ht="13.5" thickBot="1" x14ac:dyDescent="0.35">
      <c r="A66" s="71" t="s">
        <v>67</v>
      </c>
      <c r="B66" s="71"/>
      <c r="C66" s="72">
        <f>C51+C64</f>
        <v>620703838.90999997</v>
      </c>
      <c r="D66" s="72"/>
      <c r="E66" s="41"/>
      <c r="F66" s="71" t="s">
        <v>67</v>
      </c>
      <c r="G66" s="71"/>
      <c r="H66" s="72">
        <f>H64+H51</f>
        <v>744983121.02999997</v>
      </c>
      <c r="I66" s="72"/>
      <c r="J66" s="46"/>
      <c r="K66" s="71"/>
      <c r="L66" s="72">
        <f>L64+L51</f>
        <v>124279282.11999999</v>
      </c>
      <c r="M66" s="72"/>
    </row>
    <row r="67" spans="1:13" ht="13.5" thickTop="1" x14ac:dyDescent="0.3"/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5A71-9EA5-4CBD-8485-9D8FF2FFD8AA}">
  <dimension ref="A1:M62"/>
  <sheetViews>
    <sheetView workbookViewId="0">
      <selection activeCell="F16" sqref="F16:H21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6.7265625" style="35" bestFit="1" customWidth="1"/>
    <col min="7" max="7" width="5.7265625" style="35" customWidth="1"/>
    <col min="8" max="8" width="19.81640625" style="35" bestFit="1" customWidth="1"/>
    <col min="9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50">
        <v>44261</v>
      </c>
      <c r="B3" s="49">
        <v>10</v>
      </c>
      <c r="C3" s="51">
        <v>59661749.439999998</v>
      </c>
      <c r="D3" s="51">
        <v>10060000</v>
      </c>
      <c r="F3" s="10">
        <v>44622</v>
      </c>
      <c r="G3" s="90">
        <v>10</v>
      </c>
      <c r="H3" s="51">
        <v>60556266</v>
      </c>
      <c r="I3" s="51">
        <v>7700000</v>
      </c>
      <c r="J3" s="45"/>
      <c r="K3" s="49">
        <f t="shared" ref="K3:L9" si="0">G3-B3</f>
        <v>0</v>
      </c>
      <c r="L3" s="38">
        <f t="shared" si="0"/>
        <v>894516.56000000238</v>
      </c>
      <c r="M3" s="38">
        <f>D3-I3</f>
        <v>2360000</v>
      </c>
    </row>
    <row r="4" spans="1:13" ht="14.5" x14ac:dyDescent="0.35">
      <c r="A4" s="50">
        <v>44262</v>
      </c>
      <c r="B4" s="49">
        <v>8</v>
      </c>
      <c r="C4" s="51">
        <v>44206465</v>
      </c>
      <c r="D4" s="51">
        <v>6590000</v>
      </c>
      <c r="F4" s="10">
        <v>44625</v>
      </c>
      <c r="G4" s="93">
        <v>10</v>
      </c>
      <c r="H4" s="51">
        <v>65047776.990000002</v>
      </c>
      <c r="I4" s="51">
        <v>8250000</v>
      </c>
      <c r="J4" s="45"/>
      <c r="K4" s="49">
        <f t="shared" si="0"/>
        <v>2</v>
      </c>
      <c r="L4" s="38">
        <f t="shared" si="0"/>
        <v>20841311.990000002</v>
      </c>
      <c r="M4" s="38">
        <f t="shared" ref="M4:M9" si="1">D4-I4</f>
        <v>-1660000</v>
      </c>
    </row>
    <row r="5" spans="1:13" ht="14.5" x14ac:dyDescent="0.35">
      <c r="A5" s="50">
        <v>44268</v>
      </c>
      <c r="B5" s="49">
        <v>10</v>
      </c>
      <c r="C5" s="51">
        <v>59827912.810000002</v>
      </c>
      <c r="D5" s="51">
        <v>7350000</v>
      </c>
      <c r="F5" s="10">
        <v>44632</v>
      </c>
      <c r="G5" s="93">
        <v>10</v>
      </c>
      <c r="H5" s="51">
        <v>64399373</v>
      </c>
      <c r="I5" s="51">
        <v>8080000</v>
      </c>
      <c r="J5" s="45"/>
      <c r="K5" s="49">
        <f t="shared" si="0"/>
        <v>0</v>
      </c>
      <c r="L5" s="38">
        <f t="shared" si="0"/>
        <v>4571460.1899999976</v>
      </c>
      <c r="M5" s="38">
        <f t="shared" si="1"/>
        <v>-730000</v>
      </c>
    </row>
    <row r="6" spans="1:13" ht="14.5" x14ac:dyDescent="0.35">
      <c r="A6" s="50">
        <v>44269</v>
      </c>
      <c r="B6" s="49">
        <v>9</v>
      </c>
      <c r="C6" s="51">
        <v>40320971.340000004</v>
      </c>
      <c r="D6" s="51">
        <v>7470000</v>
      </c>
      <c r="F6" s="10">
        <v>44633</v>
      </c>
      <c r="G6" s="93">
        <v>9</v>
      </c>
      <c r="H6" s="51">
        <v>51505823</v>
      </c>
      <c r="I6" s="51">
        <v>7310000</v>
      </c>
      <c r="J6" s="45"/>
      <c r="K6" s="49">
        <f t="shared" si="0"/>
        <v>0</v>
      </c>
      <c r="L6" s="38">
        <f t="shared" si="0"/>
        <v>11184851.659999996</v>
      </c>
      <c r="M6" s="38">
        <f t="shared" si="1"/>
        <v>160000</v>
      </c>
    </row>
    <row r="7" spans="1:13" ht="14.5" x14ac:dyDescent="0.35">
      <c r="A7" s="50">
        <v>44275</v>
      </c>
      <c r="B7" s="49">
        <v>11</v>
      </c>
      <c r="C7" s="51">
        <v>62080312.479999997</v>
      </c>
      <c r="D7" s="51">
        <v>8200000</v>
      </c>
      <c r="F7" s="10">
        <v>44639</v>
      </c>
      <c r="G7" s="93">
        <v>10</v>
      </c>
      <c r="H7" s="51">
        <v>63934493.590000004</v>
      </c>
      <c r="I7" s="51">
        <v>8510000</v>
      </c>
      <c r="J7" s="45"/>
      <c r="K7" s="49">
        <f t="shared" si="0"/>
        <v>-1</v>
      </c>
      <c r="L7" s="38">
        <f t="shared" si="0"/>
        <v>1854181.1100000069</v>
      </c>
      <c r="M7" s="38">
        <f t="shared" si="1"/>
        <v>-310000</v>
      </c>
    </row>
    <row r="8" spans="1:13" ht="14.5" x14ac:dyDescent="0.35">
      <c r="A8" s="50">
        <v>44276</v>
      </c>
      <c r="B8" s="49">
        <v>11</v>
      </c>
      <c r="C8" s="51">
        <v>52334749.539999999</v>
      </c>
      <c r="D8" s="51">
        <v>8450000</v>
      </c>
      <c r="F8" s="10">
        <v>44646</v>
      </c>
      <c r="G8" s="93">
        <v>11</v>
      </c>
      <c r="H8" s="51">
        <v>69712942</v>
      </c>
      <c r="I8" s="51">
        <v>8280000</v>
      </c>
      <c r="J8" s="45"/>
      <c r="K8" s="49">
        <f t="shared" si="0"/>
        <v>0</v>
      </c>
      <c r="L8" s="38">
        <f t="shared" si="0"/>
        <v>17378192.460000001</v>
      </c>
      <c r="M8" s="38">
        <f t="shared" si="1"/>
        <v>170000</v>
      </c>
    </row>
    <row r="9" spans="1:13" ht="14.5" x14ac:dyDescent="0.35">
      <c r="A9" s="50">
        <v>44285</v>
      </c>
      <c r="B9" s="49">
        <v>11</v>
      </c>
      <c r="C9" s="51">
        <v>56713782</v>
      </c>
      <c r="D9" s="51">
        <v>7800000</v>
      </c>
      <c r="F9" s="10">
        <v>44647</v>
      </c>
      <c r="G9" s="107">
        <v>10</v>
      </c>
      <c r="H9" s="51">
        <v>65889462.729999997</v>
      </c>
      <c r="I9" s="108">
        <v>7620000</v>
      </c>
      <c r="J9" s="45"/>
      <c r="K9" s="49">
        <f t="shared" si="0"/>
        <v>-1</v>
      </c>
      <c r="L9" s="38">
        <f t="shared" si="0"/>
        <v>9175680.7299999967</v>
      </c>
      <c r="M9" s="38">
        <f t="shared" si="1"/>
        <v>180000</v>
      </c>
    </row>
    <row r="10" spans="1:13" ht="14.5" x14ac:dyDescent="0.35">
      <c r="A10" s="50"/>
      <c r="B10" s="49"/>
      <c r="C10" s="51"/>
      <c r="D10" s="51"/>
      <c r="F10" s="10"/>
      <c r="G10" s="49"/>
      <c r="H10" s="51"/>
      <c r="I10" s="43"/>
      <c r="J10" s="45"/>
      <c r="K10" s="49"/>
      <c r="L10" s="38"/>
      <c r="M10" s="38"/>
    </row>
    <row r="11" spans="1:13" ht="15" thickBot="1" x14ac:dyDescent="0.4">
      <c r="A11" s="52" t="s">
        <v>66</v>
      </c>
      <c r="B11" s="52">
        <f>SUM(B3:B10)</f>
        <v>70</v>
      </c>
      <c r="C11" s="39">
        <f>SUM(C3:C10)</f>
        <v>375145942.61000001</v>
      </c>
      <c r="D11" s="54">
        <f>SUM(D3:D10)</f>
        <v>55920000</v>
      </c>
      <c r="F11" s="52" t="s">
        <v>66</v>
      </c>
      <c r="G11" s="52">
        <f>SUM(G3:G10)</f>
        <v>70</v>
      </c>
      <c r="H11" s="39">
        <f>SUM(H3:H10)</f>
        <v>441046137.31000006</v>
      </c>
      <c r="I11" s="39">
        <f>SUM(I3:I10)</f>
        <v>55750000</v>
      </c>
      <c r="J11" s="46"/>
      <c r="K11" s="14">
        <f>G11-B11</f>
        <v>0</v>
      </c>
      <c r="L11" s="39">
        <f>SUM(L3:L10)</f>
        <v>65900194.700000003</v>
      </c>
      <c r="M11" s="39">
        <f>SUM(M3:M10)</f>
        <v>170000</v>
      </c>
    </row>
    <row r="12" spans="1:13" ht="13.5" thickTop="1" x14ac:dyDescent="0.3">
      <c r="A12" s="65" t="s">
        <v>72</v>
      </c>
      <c r="B12" s="62">
        <f>SUM(B3:B10)/COUNT(B3:B10)</f>
        <v>10</v>
      </c>
      <c r="C12" s="63">
        <f>SUM(C3:C10)/COUNT(C3:C10)</f>
        <v>53592277.515714288</v>
      </c>
      <c r="D12" s="63">
        <f>SUM(D3:D10)/COUNT(D3:D10)</f>
        <v>7988571.4285714282</v>
      </c>
      <c r="F12" s="59"/>
      <c r="G12" s="60">
        <f>SUM(G3:G10)/COUNT(G3:G10)</f>
        <v>10</v>
      </c>
      <c r="H12" s="61">
        <f>SUM(H3:H10)/COUNT(H3:H10)</f>
        <v>63006591.044285722</v>
      </c>
      <c r="I12" s="61">
        <f>SUM(I3:I10)/COUNT(I3:I10)</f>
        <v>7964285.7142857146</v>
      </c>
      <c r="J12" s="48"/>
      <c r="K12" s="62">
        <f>SUM(K3:K10)/COUNT(K3:K10)</f>
        <v>0</v>
      </c>
      <c r="L12" s="63">
        <f>SUM(L3:L10)/COUNT(L3:L10)</f>
        <v>9414313.5285714287</v>
      </c>
      <c r="M12" s="63">
        <f>SUM(M3:M10)/COUNT(M3:M10)</f>
        <v>24285.714285714286</v>
      </c>
    </row>
    <row r="13" spans="1:13" x14ac:dyDescent="0.3">
      <c r="H13" s="78"/>
    </row>
    <row r="14" spans="1:13" x14ac:dyDescent="0.3">
      <c r="A14" s="34" t="s">
        <v>71</v>
      </c>
    </row>
    <row r="15" spans="1:13" ht="29.5" thickBot="1" x14ac:dyDescent="0.4">
      <c r="A15" s="76" t="s">
        <v>70</v>
      </c>
      <c r="B15" s="76" t="s">
        <v>69</v>
      </c>
      <c r="C15" s="76" t="s">
        <v>65</v>
      </c>
      <c r="D15" s="76"/>
      <c r="F15" s="76" t="s">
        <v>70</v>
      </c>
      <c r="G15" s="76" t="s">
        <v>69</v>
      </c>
      <c r="H15" s="76" t="s">
        <v>65</v>
      </c>
      <c r="I15" s="76" t="s">
        <v>74</v>
      </c>
      <c r="J15" s="77"/>
      <c r="K15" s="66" t="s">
        <v>78</v>
      </c>
      <c r="L15" s="67" t="s">
        <v>76</v>
      </c>
      <c r="M15" s="67" t="s">
        <v>77</v>
      </c>
    </row>
    <row r="16" spans="1:13" x14ac:dyDescent="0.3">
      <c r="A16" s="73">
        <v>44261</v>
      </c>
      <c r="B16" s="68">
        <v>6</v>
      </c>
      <c r="C16" s="74">
        <v>59141786.640000001</v>
      </c>
      <c r="D16" s="74"/>
      <c r="F16" s="73">
        <v>44625</v>
      </c>
      <c r="G16" s="68">
        <v>5</v>
      </c>
      <c r="H16" s="74">
        <v>61813818.509999998</v>
      </c>
      <c r="I16" s="69"/>
      <c r="J16" s="45"/>
      <c r="K16" s="68">
        <f t="shared" ref="K16:L20" si="2">G16-B16</f>
        <v>-1</v>
      </c>
      <c r="L16" s="69">
        <f>H16-C16</f>
        <v>2672031.8699999973</v>
      </c>
      <c r="M16" s="69"/>
    </row>
    <row r="17" spans="1:13" x14ac:dyDescent="0.3">
      <c r="A17" s="73">
        <v>44268</v>
      </c>
      <c r="B17" s="68">
        <v>7</v>
      </c>
      <c r="C17" s="74">
        <v>61991609.170000002</v>
      </c>
      <c r="D17" s="74"/>
      <c r="F17" s="73">
        <v>44632</v>
      </c>
      <c r="G17" s="68">
        <v>7</v>
      </c>
      <c r="H17" s="74">
        <f>68245820.34+18113655.45</f>
        <v>86359475.790000007</v>
      </c>
      <c r="I17" s="69"/>
      <c r="J17" s="45"/>
      <c r="K17" s="68">
        <f t="shared" si="2"/>
        <v>0</v>
      </c>
      <c r="L17" s="69">
        <f>H17-C17</f>
        <v>24367866.620000005</v>
      </c>
      <c r="M17" s="69"/>
    </row>
    <row r="18" spans="1:13" x14ac:dyDescent="0.3">
      <c r="A18" s="73">
        <v>44275</v>
      </c>
      <c r="B18" s="68">
        <v>7</v>
      </c>
      <c r="C18" s="74">
        <v>64185625.25</v>
      </c>
      <c r="D18" s="74"/>
      <c r="F18" s="73">
        <v>44639</v>
      </c>
      <c r="G18" s="68">
        <v>7</v>
      </c>
      <c r="H18" s="74">
        <f>64588755.62+19000000</f>
        <v>83588755.620000005</v>
      </c>
      <c r="I18" s="69"/>
      <c r="J18" s="45"/>
      <c r="K18" s="68">
        <f t="shared" si="2"/>
        <v>0</v>
      </c>
      <c r="L18" s="69">
        <f>H18-C18</f>
        <v>19403130.370000005</v>
      </c>
      <c r="M18" s="69"/>
    </row>
    <row r="19" spans="1:13" x14ac:dyDescent="0.3">
      <c r="A19" s="73">
        <v>44282</v>
      </c>
      <c r="B19" s="68">
        <v>7</v>
      </c>
      <c r="C19" s="74">
        <v>42450826.079999998</v>
      </c>
      <c r="D19" s="74"/>
      <c r="F19" s="73">
        <v>44646</v>
      </c>
      <c r="G19" s="68">
        <v>7</v>
      </c>
      <c r="H19" s="74">
        <f>11180009.08+5785562.16+9452287.28+11719297.95+11070101.76+14444637.87+20366858.38</f>
        <v>84018754.479999989</v>
      </c>
      <c r="I19" s="69"/>
      <c r="J19" s="45"/>
      <c r="K19" s="68">
        <f t="shared" si="2"/>
        <v>0</v>
      </c>
      <c r="L19" s="69">
        <f t="shared" si="2"/>
        <v>41567928.399999991</v>
      </c>
      <c r="M19" s="69"/>
    </row>
    <row r="20" spans="1:13" x14ac:dyDescent="0.3">
      <c r="A20" s="73">
        <v>44286</v>
      </c>
      <c r="B20" s="68">
        <v>4</v>
      </c>
      <c r="C20" s="74">
        <f>8870999.39+8200000</f>
        <v>17070999.390000001</v>
      </c>
      <c r="D20" s="74"/>
      <c r="F20" s="73">
        <v>44651</v>
      </c>
      <c r="G20" s="68">
        <v>5</v>
      </c>
      <c r="H20" s="106">
        <f>13235493.92+5670808.41+6695677.6+9700000</f>
        <v>35301979.93</v>
      </c>
      <c r="I20" s="69"/>
      <c r="J20" s="45"/>
      <c r="K20" s="68">
        <f t="shared" si="2"/>
        <v>1</v>
      </c>
      <c r="L20" s="69">
        <f t="shared" si="2"/>
        <v>18230980.539999999</v>
      </c>
      <c r="M20" s="69"/>
    </row>
    <row r="21" spans="1:13" x14ac:dyDescent="0.3">
      <c r="A21" s="73"/>
      <c r="B21" s="68"/>
      <c r="C21" s="74"/>
      <c r="D21" s="74"/>
      <c r="F21" s="73"/>
      <c r="G21" s="68"/>
      <c r="H21" s="106"/>
      <c r="I21" s="69"/>
      <c r="J21" s="45"/>
      <c r="K21" s="68"/>
      <c r="L21" s="69"/>
      <c r="M21" s="69"/>
    </row>
    <row r="22" spans="1:13" ht="14.5" x14ac:dyDescent="0.3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35">
      <c r="A23" s="75" t="s">
        <v>66</v>
      </c>
      <c r="B23" s="75">
        <f>SUM(B16:B21)</f>
        <v>31</v>
      </c>
      <c r="C23" s="88">
        <f>SUM(C16:C21)</f>
        <v>244840846.52999997</v>
      </c>
      <c r="D23" s="70"/>
      <c r="F23" s="75" t="s">
        <v>66</v>
      </c>
      <c r="G23" s="75">
        <f>SUM(G16:G22)</f>
        <v>31</v>
      </c>
      <c r="H23" s="70">
        <f>SUM(H16:H22)</f>
        <v>351082784.32999998</v>
      </c>
      <c r="I23" s="70"/>
      <c r="J23" s="46"/>
      <c r="K23" s="68">
        <f>SUM(K16:K22)</f>
        <v>0</v>
      </c>
      <c r="L23" s="70">
        <f>SUM(L16:L22)</f>
        <v>106241937.79999998</v>
      </c>
      <c r="M23" s="70"/>
    </row>
    <row r="24" spans="1:13" ht="13.5" thickTop="1" x14ac:dyDescent="0.3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35">
      <c r="A25" s="71" t="s">
        <v>67</v>
      </c>
      <c r="B25" s="71"/>
      <c r="C25" s="72">
        <f>C11+C23</f>
        <v>619986789.13999999</v>
      </c>
      <c r="D25" s="72"/>
      <c r="E25" s="41"/>
      <c r="F25" s="71" t="s">
        <v>67</v>
      </c>
      <c r="G25" s="71"/>
      <c r="H25" s="72">
        <f>H23+H11</f>
        <v>792128921.6400001</v>
      </c>
      <c r="I25" s="72"/>
      <c r="J25" s="46"/>
      <c r="K25" s="71"/>
      <c r="L25" s="72">
        <f>L23+L11</f>
        <v>172142132.5</v>
      </c>
      <c r="M25" s="72"/>
    </row>
    <row r="26" spans="1:13" ht="13.5" thickTop="1" x14ac:dyDescent="0.3"/>
    <row r="27" spans="1:13" x14ac:dyDescent="0.3">
      <c r="H27" s="35">
        <f>12</f>
        <v>12</v>
      </c>
    </row>
    <row r="28" spans="1:13" x14ac:dyDescent="0.3">
      <c r="C28" s="78"/>
    </row>
    <row r="30" spans="1:13" x14ac:dyDescent="0.3">
      <c r="H30" s="35">
        <f>785+763+744</f>
        <v>2292</v>
      </c>
    </row>
    <row r="32" spans="1:13" x14ac:dyDescent="0.3">
      <c r="C32" s="78"/>
    </row>
    <row r="33" spans="1:13" x14ac:dyDescent="0.3">
      <c r="H33" s="78"/>
      <c r="I33" s="78"/>
    </row>
    <row r="34" spans="1:13" x14ac:dyDescent="0.3">
      <c r="H34" s="78"/>
    </row>
    <row r="35" spans="1:13" x14ac:dyDescent="0.3">
      <c r="H35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0" si="3">F3</f>
        <v>44622</v>
      </c>
      <c r="G38" s="49">
        <f t="shared" si="3"/>
        <v>10</v>
      </c>
      <c r="H38" s="51">
        <f t="shared" si="3"/>
        <v>60556266</v>
      </c>
      <c r="I38" s="51">
        <f t="shared" si="3"/>
        <v>7700000</v>
      </c>
      <c r="J38" s="45"/>
      <c r="K38" s="49">
        <f t="shared" ref="K38:L44" si="4">G38-B38</f>
        <v>0</v>
      </c>
      <c r="L38" s="38">
        <f t="shared" si="4"/>
        <v>11448783.899999999</v>
      </c>
      <c r="M38" s="38">
        <f>D38-I38</f>
        <v>0</v>
      </c>
    </row>
    <row r="39" spans="1:13" x14ac:dyDescent="0.3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3"/>
        <v>44625</v>
      </c>
      <c r="G39" s="49">
        <f t="shared" si="3"/>
        <v>10</v>
      </c>
      <c r="H39" s="51">
        <f t="shared" si="3"/>
        <v>65047776.990000002</v>
      </c>
      <c r="I39" s="51">
        <f t="shared" si="3"/>
        <v>8250000</v>
      </c>
      <c r="J39" s="45"/>
      <c r="K39" s="49">
        <f t="shared" si="4"/>
        <v>0</v>
      </c>
      <c r="L39" s="38">
        <f t="shared" si="4"/>
        <v>22532070.770000003</v>
      </c>
      <c r="M39" s="38">
        <f t="shared" ref="M39:M44" si="5">D39-I39</f>
        <v>-440000</v>
      </c>
    </row>
    <row r="40" spans="1:13" x14ac:dyDescent="0.3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3"/>
        <v>44632</v>
      </c>
      <c r="G40" s="49">
        <f t="shared" si="3"/>
        <v>10</v>
      </c>
      <c r="H40" s="51">
        <f t="shared" si="3"/>
        <v>64399373</v>
      </c>
      <c r="I40" s="51">
        <f t="shared" si="3"/>
        <v>8080000</v>
      </c>
      <c r="J40" s="45"/>
      <c r="K40" s="49">
        <f t="shared" si="4"/>
        <v>0</v>
      </c>
      <c r="L40" s="38">
        <f t="shared" si="4"/>
        <v>19151368.359999999</v>
      </c>
      <c r="M40" s="38">
        <f t="shared" si="5"/>
        <v>-750000</v>
      </c>
    </row>
    <row r="41" spans="1:13" x14ac:dyDescent="0.3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ref="F41:G44" si="6">F6</f>
        <v>44633</v>
      </c>
      <c r="G41" s="49">
        <f t="shared" si="6"/>
        <v>9</v>
      </c>
      <c r="H41" s="51">
        <v>45515620.520000003</v>
      </c>
      <c r="I41" s="51">
        <f>I6</f>
        <v>7310000</v>
      </c>
      <c r="J41" s="45"/>
      <c r="K41" s="49">
        <f t="shared" si="4"/>
        <v>-1</v>
      </c>
      <c r="L41" s="38">
        <f t="shared" si="4"/>
        <v>-2959758.049999997</v>
      </c>
      <c r="M41" s="38">
        <f t="shared" si="5"/>
        <v>370000</v>
      </c>
    </row>
    <row r="42" spans="1:13" x14ac:dyDescent="0.3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6"/>
        <v>44639</v>
      </c>
      <c r="G42" s="49">
        <f t="shared" si="6"/>
        <v>10</v>
      </c>
      <c r="H42" s="51">
        <f>H7</f>
        <v>63934493.590000004</v>
      </c>
      <c r="I42" s="51">
        <f>I7</f>
        <v>8510000</v>
      </c>
      <c r="J42" s="45"/>
      <c r="K42" s="49">
        <f t="shared" si="4"/>
        <v>0</v>
      </c>
      <c r="L42" s="38">
        <f t="shared" si="4"/>
        <v>13686687.200000003</v>
      </c>
      <c r="M42" s="38">
        <f t="shared" si="5"/>
        <v>-1270000</v>
      </c>
    </row>
    <row r="43" spans="1:13" x14ac:dyDescent="0.3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6"/>
        <v>44646</v>
      </c>
      <c r="G43" s="49">
        <f t="shared" si="6"/>
        <v>11</v>
      </c>
      <c r="H43" s="51">
        <f>H8</f>
        <v>69712942</v>
      </c>
      <c r="I43" s="51">
        <f>I8</f>
        <v>8280000</v>
      </c>
      <c r="J43" s="45"/>
      <c r="K43" s="49">
        <f t="shared" si="4"/>
        <v>-1</v>
      </c>
      <c r="L43" s="38">
        <f t="shared" si="4"/>
        <v>6979915.9600000009</v>
      </c>
      <c r="M43" s="38">
        <f t="shared" si="5"/>
        <v>9670000</v>
      </c>
    </row>
    <row r="44" spans="1:13" x14ac:dyDescent="0.3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6"/>
        <v>44647</v>
      </c>
      <c r="G44" s="49">
        <f t="shared" si="6"/>
        <v>10</v>
      </c>
      <c r="H44" s="51">
        <f>H9</f>
        <v>65889462.729999997</v>
      </c>
      <c r="I44" s="51">
        <f>I9</f>
        <v>7620000</v>
      </c>
      <c r="J44" s="45"/>
      <c r="K44" s="49">
        <f t="shared" si="4"/>
        <v>0</v>
      </c>
      <c r="L44" s="38">
        <f t="shared" si="4"/>
        <v>23110145.959999993</v>
      </c>
      <c r="M44" s="38">
        <f t="shared" si="5"/>
        <v>510000</v>
      </c>
    </row>
    <row r="45" spans="1:13" x14ac:dyDescent="0.3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" thickBot="1" x14ac:dyDescent="0.4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70</v>
      </c>
      <c r="H46" s="39">
        <f>SUM(H38:H45)</f>
        <v>435055934.83000004</v>
      </c>
      <c r="I46" s="39">
        <f>SUM(I38:I45)</f>
        <v>55750000</v>
      </c>
      <c r="J46" s="46"/>
      <c r="K46" s="14">
        <f>G46-B46</f>
        <v>-2</v>
      </c>
      <c r="L46" s="39">
        <f>SUM(L38:L45)</f>
        <v>93949214.100000009</v>
      </c>
      <c r="M46" s="39">
        <f>SUM(M38:M45)</f>
        <v>8090000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10</v>
      </c>
      <c r="H48" s="61">
        <f>SUM(H38:H45)/COUNT(H38:H45)</f>
        <v>62150847.832857147</v>
      </c>
      <c r="I48" s="61">
        <f>SUM(I38:I45)/COUNT(I38:I45)</f>
        <v>7964285.7142857146</v>
      </c>
      <c r="J48" s="48"/>
      <c r="K48" s="62">
        <f>SUM(K38:K45)/COUNT(K38:K45)</f>
        <v>-0.2857142857142857</v>
      </c>
      <c r="L48" s="63">
        <f>SUM(L38:L45)/COUNT(L38:L45)</f>
        <v>13421316.300000001</v>
      </c>
      <c r="M48" s="63">
        <f>SUM(M38:M45)/COUNT(M38:M45)</f>
        <v>1155714.2857142857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H16</f>
        <v>61813818.509999998</v>
      </c>
      <c r="I52" s="69"/>
      <c r="J52" s="45"/>
      <c r="K52" s="68">
        <f>G52-B52</f>
        <v>4</v>
      </c>
      <c r="L52" s="69">
        <f>H52-C52</f>
        <v>47482646.170000002</v>
      </c>
      <c r="M52" s="69"/>
    </row>
    <row r="53" spans="1:13" x14ac:dyDescent="0.3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H17</f>
        <v>86359475.790000007</v>
      </c>
      <c r="I53" s="69"/>
      <c r="J53" s="45"/>
      <c r="K53" s="68">
        <f t="shared" ref="K53:L57" si="7">G53-B53</f>
        <v>0</v>
      </c>
      <c r="L53" s="69">
        <f t="shared" si="7"/>
        <v>18555435.640000001</v>
      </c>
      <c r="M53" s="69"/>
    </row>
    <row r="54" spans="1:13" x14ac:dyDescent="0.3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H18</f>
        <v>83588755.620000005</v>
      </c>
      <c r="I54" s="69"/>
      <c r="J54" s="45"/>
      <c r="K54" s="68">
        <f t="shared" si="7"/>
        <v>0</v>
      </c>
      <c r="L54" s="69">
        <f t="shared" si="7"/>
        <v>19864924.300000004</v>
      </c>
      <c r="M54" s="69"/>
    </row>
    <row r="55" spans="1:13" x14ac:dyDescent="0.3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H19</f>
        <v>84018754.479999989</v>
      </c>
      <c r="I55" s="69"/>
      <c r="J55" s="45"/>
      <c r="K55" s="68">
        <f t="shared" si="7"/>
        <v>0</v>
      </c>
      <c r="L55" s="69">
        <f t="shared" si="7"/>
        <v>20431694.319999993</v>
      </c>
      <c r="M55" s="69"/>
    </row>
    <row r="56" spans="1:13" x14ac:dyDescent="0.3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H20</f>
        <v>35301979.93</v>
      </c>
      <c r="I56" s="69"/>
      <c r="J56" s="45"/>
      <c r="K56" s="68">
        <f t="shared" si="7"/>
        <v>-3</v>
      </c>
      <c r="L56" s="69">
        <f t="shared" si="7"/>
        <v>-25612471.490000002</v>
      </c>
      <c r="M56" s="69"/>
    </row>
    <row r="57" spans="1:13" x14ac:dyDescent="0.3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7"/>
        <v>-9236562.7899999991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351082784.32999998</v>
      </c>
      <c r="I59" s="70"/>
      <c r="J59" s="46"/>
      <c r="K59" s="68">
        <f>SUM(K52:K58)</f>
        <v>1</v>
      </c>
      <c r="L59" s="70">
        <f>SUM(L52:L58)</f>
        <v>71485666.150000006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786138719.16000009</v>
      </c>
      <c r="I61" s="72"/>
      <c r="J61" s="46"/>
      <c r="K61" s="71"/>
      <c r="L61" s="72">
        <f>L59+L46</f>
        <v>165434880.25</v>
      </c>
      <c r="M61" s="72"/>
    </row>
    <row r="62" spans="1:13" ht="13.5" thickTop="1" x14ac:dyDescent="0.3"/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B49F-FDA7-43EE-8C83-3D01B0450A67}">
  <dimension ref="A1:M62"/>
  <sheetViews>
    <sheetView showGridLines="0" zoomScaleNormal="100" workbookViewId="0">
      <selection activeCell="F16" sqref="F16:H20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6.7265625" style="35" bestFit="1" customWidth="1"/>
    <col min="7" max="7" width="5.7265625" style="35" customWidth="1"/>
    <col min="8" max="8" width="19.81640625" style="35" bestFit="1" customWidth="1"/>
    <col min="9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50">
        <v>44293</v>
      </c>
      <c r="B3" s="49">
        <v>10</v>
      </c>
      <c r="C3" s="51">
        <v>49148700.090000004</v>
      </c>
      <c r="D3" s="51">
        <v>8670000</v>
      </c>
      <c r="F3" s="10">
        <v>44653</v>
      </c>
      <c r="G3" s="90">
        <v>10</v>
      </c>
      <c r="H3" s="51">
        <v>60989474</v>
      </c>
      <c r="I3" s="51">
        <v>9140000</v>
      </c>
      <c r="J3" s="45"/>
      <c r="K3" s="49">
        <f t="shared" ref="K3:L10" si="0">G3-B3</f>
        <v>0</v>
      </c>
      <c r="L3" s="38">
        <f t="shared" si="0"/>
        <v>11840773.909999996</v>
      </c>
      <c r="M3" s="38">
        <f>D3-I3</f>
        <v>-470000</v>
      </c>
    </row>
    <row r="4" spans="1:13" ht="14.5" x14ac:dyDescent="0.35">
      <c r="A4" s="50">
        <v>44294</v>
      </c>
      <c r="B4" s="49">
        <v>9</v>
      </c>
      <c r="C4" s="51">
        <v>42950466.590000004</v>
      </c>
      <c r="D4" s="51">
        <v>7500000</v>
      </c>
      <c r="F4" s="10">
        <v>44654</v>
      </c>
      <c r="G4" s="93">
        <v>10</v>
      </c>
      <c r="H4" s="51">
        <v>53162039.32</v>
      </c>
      <c r="I4" s="51">
        <f>7750000</f>
        <v>7750000</v>
      </c>
      <c r="J4" s="45"/>
      <c r="K4" s="49">
        <f t="shared" si="0"/>
        <v>1</v>
      </c>
      <c r="L4" s="38">
        <f t="shared" si="0"/>
        <v>10211572.729999997</v>
      </c>
      <c r="M4" s="38">
        <f t="shared" ref="M4:M10" si="1">D4-I4</f>
        <v>-250000</v>
      </c>
    </row>
    <row r="5" spans="1:13" ht="14.5" x14ac:dyDescent="0.35">
      <c r="A5" s="50">
        <v>44303</v>
      </c>
      <c r="B5" s="49">
        <v>10</v>
      </c>
      <c r="C5" s="51">
        <v>57859613.960000001</v>
      </c>
      <c r="D5" s="51">
        <v>6940000</v>
      </c>
      <c r="F5" s="10">
        <v>44660</v>
      </c>
      <c r="G5" s="93">
        <v>10</v>
      </c>
      <c r="H5" s="51">
        <v>62662925</v>
      </c>
      <c r="I5" s="51">
        <f>650000+980000+770000+650000+650000+960000+950000+670000+920000+700000</f>
        <v>7900000</v>
      </c>
      <c r="J5" s="45"/>
      <c r="K5" s="49">
        <f t="shared" si="0"/>
        <v>0</v>
      </c>
      <c r="L5" s="38">
        <f t="shared" si="0"/>
        <v>4803311.0399999991</v>
      </c>
      <c r="M5" s="38">
        <f t="shared" si="1"/>
        <v>-960000</v>
      </c>
    </row>
    <row r="6" spans="1:13" ht="14.5" x14ac:dyDescent="0.35">
      <c r="A6" s="50">
        <v>44305</v>
      </c>
      <c r="B6" s="49">
        <v>8</v>
      </c>
      <c r="C6" s="51">
        <v>39668992</v>
      </c>
      <c r="D6" s="51">
        <v>5480000</v>
      </c>
      <c r="F6" s="10">
        <v>44667</v>
      </c>
      <c r="G6" s="93">
        <v>9</v>
      </c>
      <c r="H6" s="51">
        <v>62160887</v>
      </c>
      <c r="I6" s="51">
        <v>6910000</v>
      </c>
      <c r="J6" s="45"/>
      <c r="K6" s="49">
        <f t="shared" si="0"/>
        <v>1</v>
      </c>
      <c r="L6" s="38">
        <f t="shared" si="0"/>
        <v>22491895</v>
      </c>
      <c r="M6" s="38">
        <f t="shared" si="1"/>
        <v>-1430000</v>
      </c>
    </row>
    <row r="7" spans="1:13" ht="14.5" x14ac:dyDescent="0.35">
      <c r="A7" s="50">
        <v>44309</v>
      </c>
      <c r="B7" s="49">
        <v>8</v>
      </c>
      <c r="C7" s="51">
        <f>'[1]APR 23'!$B$43</f>
        <v>43155211.539999999</v>
      </c>
      <c r="D7" s="51">
        <v>6420000</v>
      </c>
      <c r="F7" s="10">
        <v>44668</v>
      </c>
      <c r="G7" s="93">
        <v>9</v>
      </c>
      <c r="H7" s="51">
        <v>52240794</v>
      </c>
      <c r="I7" s="51">
        <f>770000+550000+670000+650000+740000+700000+1200000+920000+950000</f>
        <v>7150000</v>
      </c>
      <c r="J7" s="45"/>
      <c r="K7" s="49">
        <f t="shared" si="0"/>
        <v>1</v>
      </c>
      <c r="L7" s="38">
        <f t="shared" si="0"/>
        <v>9085582.4600000009</v>
      </c>
      <c r="M7" s="38">
        <f t="shared" si="1"/>
        <v>-730000</v>
      </c>
    </row>
    <row r="8" spans="1:13" ht="14.5" x14ac:dyDescent="0.35">
      <c r="A8" s="50">
        <v>44310</v>
      </c>
      <c r="B8" s="49">
        <v>10</v>
      </c>
      <c r="C8" s="51">
        <f>'[1]APR 24'!$B$43</f>
        <v>47512502.460000001</v>
      </c>
      <c r="D8" s="38">
        <v>7110000</v>
      </c>
      <c r="F8" s="10">
        <v>44669</v>
      </c>
      <c r="G8" s="93">
        <v>9</v>
      </c>
      <c r="H8" s="51">
        <v>52473678.649999999</v>
      </c>
      <c r="I8" s="51">
        <v>7090000</v>
      </c>
      <c r="J8" s="45"/>
      <c r="K8" s="49">
        <f t="shared" si="0"/>
        <v>-1</v>
      </c>
      <c r="L8" s="38">
        <f t="shared" si="0"/>
        <v>4961176.1899999976</v>
      </c>
      <c r="M8" s="38">
        <f t="shared" si="1"/>
        <v>20000</v>
      </c>
    </row>
    <row r="9" spans="1:13" ht="14.5" x14ac:dyDescent="0.35">
      <c r="A9" s="50">
        <v>44316</v>
      </c>
      <c r="B9" s="49">
        <v>8</v>
      </c>
      <c r="C9" s="51">
        <f>'[1]APR 30'!$B$43</f>
        <v>40964383.850000001</v>
      </c>
      <c r="D9" s="43">
        <v>5800000</v>
      </c>
      <c r="F9" s="10">
        <v>44674</v>
      </c>
      <c r="G9" s="107">
        <v>10</v>
      </c>
      <c r="H9" s="51">
        <v>61920770</v>
      </c>
      <c r="I9" s="108">
        <v>8600000</v>
      </c>
      <c r="J9" s="45"/>
      <c r="K9" s="49">
        <f t="shared" si="0"/>
        <v>2</v>
      </c>
      <c r="L9" s="38">
        <f t="shared" si="0"/>
        <v>20956386.149999999</v>
      </c>
      <c r="M9" s="38">
        <f t="shared" si="1"/>
        <v>-2800000</v>
      </c>
    </row>
    <row r="10" spans="1:13" ht="14.5" x14ac:dyDescent="0.35">
      <c r="A10" s="50"/>
      <c r="B10" s="49"/>
      <c r="C10" s="51"/>
      <c r="D10" s="51"/>
      <c r="F10" s="10">
        <v>44681</v>
      </c>
      <c r="G10" s="49">
        <v>10</v>
      </c>
      <c r="H10" s="51">
        <v>82093662.290000007</v>
      </c>
      <c r="I10" s="43">
        <v>8275000</v>
      </c>
      <c r="J10" s="45"/>
      <c r="K10" s="49"/>
      <c r="L10" s="38">
        <f t="shared" si="0"/>
        <v>82093662.290000007</v>
      </c>
      <c r="M10" s="38">
        <f t="shared" si="1"/>
        <v>-8275000</v>
      </c>
    </row>
    <row r="11" spans="1:13" ht="15" thickBot="1" x14ac:dyDescent="0.4">
      <c r="A11" s="52" t="s">
        <v>66</v>
      </c>
      <c r="B11" s="52">
        <f>SUM(B3:B10)</f>
        <v>63</v>
      </c>
      <c r="C11" s="39">
        <f>SUM(C3:C10)</f>
        <v>321259870.49000001</v>
      </c>
      <c r="D11" s="54">
        <f>SUM(D3:D10)</f>
        <v>47920000</v>
      </c>
      <c r="F11" s="52" t="s">
        <v>66</v>
      </c>
      <c r="G11" s="52">
        <f>SUM(G3:G10)</f>
        <v>77</v>
      </c>
      <c r="H11" s="39">
        <f>SUM(H3:H10)</f>
        <v>487704230.25999999</v>
      </c>
      <c r="I11" s="39">
        <f>SUM(I3:I10)</f>
        <v>62815000</v>
      </c>
      <c r="J11" s="46"/>
      <c r="K11" s="14">
        <f>G11-B11</f>
        <v>14</v>
      </c>
      <c r="L11" s="39">
        <f>SUM(L3:L10)</f>
        <v>166444359.76999998</v>
      </c>
      <c r="M11" s="39">
        <f>SUM(M3:M10)</f>
        <v>-14895000</v>
      </c>
    </row>
    <row r="12" spans="1:13" ht="13.5" thickTop="1" x14ac:dyDescent="0.3">
      <c r="A12" s="65" t="s">
        <v>72</v>
      </c>
      <c r="B12" s="62">
        <f>SUM(B3:B10)/COUNT(B3:B10)</f>
        <v>9</v>
      </c>
      <c r="C12" s="63">
        <f>SUM(C3:C10)/COUNT(C3:C10)</f>
        <v>45894267.212857142</v>
      </c>
      <c r="D12" s="63">
        <f>SUM(D3:D10)/COUNT(D3:D10)</f>
        <v>6845714.2857142854</v>
      </c>
      <c r="F12" s="59"/>
      <c r="G12" s="60">
        <f>SUM(G3:G10)/COUNT(G3:G10)</f>
        <v>9.625</v>
      </c>
      <c r="H12" s="61">
        <f>SUM(H3:H10)/COUNT(H3:H10)</f>
        <v>60963028.782499999</v>
      </c>
      <c r="I12" s="61">
        <f>SUM(I3:I10)/COUNT(I3:I10)</f>
        <v>7851875</v>
      </c>
      <c r="J12" s="48"/>
      <c r="K12" s="62">
        <f>SUM(K3:K10)/COUNT(K3:K10)</f>
        <v>0.5714285714285714</v>
      </c>
      <c r="L12" s="63">
        <f>SUM(L3:L10)/COUNT(L3:L10)</f>
        <v>20805544.971249998</v>
      </c>
      <c r="M12" s="63">
        <f>SUM(M3:M10)/COUNT(M3:M10)</f>
        <v>-1861875</v>
      </c>
    </row>
    <row r="13" spans="1:13" x14ac:dyDescent="0.3">
      <c r="H13" s="78"/>
    </row>
    <row r="14" spans="1:13" x14ac:dyDescent="0.3">
      <c r="A14" s="34" t="s">
        <v>71</v>
      </c>
    </row>
    <row r="15" spans="1:13" ht="29.5" thickBot="1" x14ac:dyDescent="0.4">
      <c r="A15" s="76" t="s">
        <v>70</v>
      </c>
      <c r="B15" s="76" t="s">
        <v>69</v>
      </c>
      <c r="C15" s="76" t="s">
        <v>65</v>
      </c>
      <c r="D15" s="76"/>
      <c r="F15" s="76" t="s">
        <v>70</v>
      </c>
      <c r="G15" s="76" t="s">
        <v>69</v>
      </c>
      <c r="H15" s="76" t="s">
        <v>65</v>
      </c>
      <c r="I15" s="76" t="s">
        <v>74</v>
      </c>
      <c r="J15" s="77"/>
      <c r="K15" s="66" t="s">
        <v>78</v>
      </c>
      <c r="L15" s="67" t="s">
        <v>76</v>
      </c>
      <c r="M15" s="67" t="s">
        <v>77</v>
      </c>
    </row>
    <row r="16" spans="1:13" ht="14.5" x14ac:dyDescent="0.35">
      <c r="A16" s="73">
        <v>44289</v>
      </c>
      <c r="B16" s="68">
        <v>3</v>
      </c>
      <c r="C16" s="74">
        <v>0</v>
      </c>
      <c r="D16" s="74"/>
      <c r="F16" s="10">
        <v>44653</v>
      </c>
      <c r="G16" s="68">
        <v>2</v>
      </c>
      <c r="H16" s="74">
        <f>12525974.83+19033245.36</f>
        <v>31559220.189999998</v>
      </c>
      <c r="I16" s="69"/>
      <c r="J16" s="45"/>
      <c r="K16" s="68">
        <f t="shared" ref="K16:L20" si="2">G16-B16</f>
        <v>-1</v>
      </c>
      <c r="L16" s="69">
        <f>H16-C16</f>
        <v>31559220.189999998</v>
      </c>
      <c r="M16" s="69"/>
    </row>
    <row r="17" spans="1:13" ht="14.5" x14ac:dyDescent="0.35">
      <c r="A17" s="73">
        <v>44296</v>
      </c>
      <c r="B17" s="68">
        <v>7</v>
      </c>
      <c r="C17" s="74">
        <f>15017890.22+9083142.34</f>
        <v>24101032.560000002</v>
      </c>
      <c r="D17" s="74"/>
      <c r="F17" s="10">
        <v>44660</v>
      </c>
      <c r="G17" s="68">
        <v>7</v>
      </c>
      <c r="H17" s="74">
        <v>85689672.980000004</v>
      </c>
      <c r="I17" s="69"/>
      <c r="J17" s="45"/>
      <c r="K17" s="68">
        <f t="shared" si="2"/>
        <v>0</v>
      </c>
      <c r="L17" s="69">
        <f>H17-C17</f>
        <v>61588640.420000002</v>
      </c>
      <c r="M17" s="69"/>
    </row>
    <row r="18" spans="1:13" ht="14.5" x14ac:dyDescent="0.35">
      <c r="A18" s="73">
        <v>44303</v>
      </c>
      <c r="B18" s="68">
        <v>7</v>
      </c>
      <c r="C18" s="74">
        <v>47788478.729999997</v>
      </c>
      <c r="D18" s="74"/>
      <c r="F18" s="10">
        <v>44667</v>
      </c>
      <c r="G18" s="68">
        <v>7</v>
      </c>
      <c r="H18" s="74">
        <v>69693435.129999995</v>
      </c>
      <c r="I18" s="69"/>
      <c r="J18" s="45"/>
      <c r="K18" s="68">
        <f t="shared" si="2"/>
        <v>0</v>
      </c>
      <c r="L18" s="69">
        <f>H18-C18</f>
        <v>21904956.399999999</v>
      </c>
      <c r="M18" s="69"/>
    </row>
    <row r="19" spans="1:13" ht="14.5" x14ac:dyDescent="0.35">
      <c r="A19" s="73">
        <v>44310</v>
      </c>
      <c r="B19" s="68">
        <v>7</v>
      </c>
      <c r="C19" s="74">
        <v>49522568.390000001</v>
      </c>
      <c r="D19" s="74"/>
      <c r="F19" s="10">
        <v>44674</v>
      </c>
      <c r="G19" s="68">
        <v>6</v>
      </c>
      <c r="H19" s="74">
        <f>66343117.56+19105460.06</f>
        <v>85448577.620000005</v>
      </c>
      <c r="I19" s="69"/>
      <c r="J19" s="45"/>
      <c r="K19" s="68">
        <f t="shared" si="2"/>
        <v>-1</v>
      </c>
      <c r="L19" s="69">
        <f t="shared" si="2"/>
        <v>35926009.230000004</v>
      </c>
      <c r="M19" s="69"/>
    </row>
    <row r="20" spans="1:13" ht="14.5" x14ac:dyDescent="0.35">
      <c r="A20" s="73">
        <v>44316</v>
      </c>
      <c r="B20" s="68">
        <v>6</v>
      </c>
      <c r="C20" s="74">
        <v>41885415.890000001</v>
      </c>
      <c r="D20" s="74"/>
      <c r="F20" s="10">
        <v>44681</v>
      </c>
      <c r="G20" s="68">
        <v>7</v>
      </c>
      <c r="H20" s="74">
        <v>92794180.290000007</v>
      </c>
      <c r="I20" s="69"/>
      <c r="J20" s="45"/>
      <c r="K20" s="68">
        <f t="shared" si="2"/>
        <v>1</v>
      </c>
      <c r="L20" s="69">
        <f t="shared" si="2"/>
        <v>50908764.400000006</v>
      </c>
      <c r="M20" s="69"/>
    </row>
    <row r="21" spans="1:13" ht="14.5" x14ac:dyDescent="0.35">
      <c r="A21" s="73"/>
      <c r="B21" s="68"/>
      <c r="C21" s="74"/>
      <c r="D21" s="74"/>
      <c r="F21" s="10"/>
      <c r="G21" s="68"/>
      <c r="H21" s="106"/>
      <c r="I21" s="69"/>
      <c r="J21" s="45"/>
      <c r="K21" s="68"/>
      <c r="L21" s="69"/>
      <c r="M21" s="69"/>
    </row>
    <row r="22" spans="1:13" ht="14.5" hidden="1" x14ac:dyDescent="0.3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35">
      <c r="A23" s="75" t="s">
        <v>66</v>
      </c>
      <c r="B23" s="75">
        <f>SUM(B16:B21)</f>
        <v>30</v>
      </c>
      <c r="C23" s="88">
        <f>SUM(C16:C21)</f>
        <v>163297495.56999999</v>
      </c>
      <c r="D23" s="70"/>
      <c r="F23" s="75" t="s">
        <v>66</v>
      </c>
      <c r="G23" s="75">
        <f>SUM(G16:G22)</f>
        <v>29</v>
      </c>
      <c r="H23" s="70">
        <f>SUM(H16:H22)</f>
        <v>365185086.21000004</v>
      </c>
      <c r="I23" s="70"/>
      <c r="J23" s="46"/>
      <c r="K23" s="68">
        <f>SUM(K16:K22)</f>
        <v>-1</v>
      </c>
      <c r="L23" s="70">
        <f>SUM(L16:L22)</f>
        <v>201887590.64000002</v>
      </c>
      <c r="M23" s="70"/>
    </row>
    <row r="24" spans="1:13" ht="13.5" thickTop="1" x14ac:dyDescent="0.3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35">
      <c r="A25" s="71" t="s">
        <v>67</v>
      </c>
      <c r="B25" s="71"/>
      <c r="C25" s="72">
        <f>C11+C23</f>
        <v>484557366.06</v>
      </c>
      <c r="D25" s="72"/>
      <c r="E25" s="41"/>
      <c r="F25" s="71" t="s">
        <v>67</v>
      </c>
      <c r="G25" s="71"/>
      <c r="H25" s="72">
        <f>H23+H11</f>
        <v>852889316.47000003</v>
      </c>
      <c r="I25" s="72"/>
      <c r="J25" s="46"/>
      <c r="K25" s="71"/>
      <c r="L25" s="72">
        <f>L23+L11</f>
        <v>368331950.40999997</v>
      </c>
      <c r="M25" s="72"/>
    </row>
    <row r="26" spans="1:13" ht="13.5" thickTop="1" x14ac:dyDescent="0.3"/>
    <row r="28" spans="1:13" x14ac:dyDescent="0.3">
      <c r="C28" s="78"/>
    </row>
    <row r="32" spans="1:13" x14ac:dyDescent="0.3">
      <c r="C32" s="78"/>
    </row>
    <row r="33" spans="1:13" x14ac:dyDescent="0.3">
      <c r="H33" s="78"/>
      <c r="I33" s="78"/>
    </row>
    <row r="34" spans="1:13" x14ac:dyDescent="0.3">
      <c r="H34" s="78"/>
    </row>
    <row r="35" spans="1:13" x14ac:dyDescent="0.3">
      <c r="H35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3">F3</f>
        <v>44653</v>
      </c>
      <c r="G38" s="49">
        <f t="shared" si="3"/>
        <v>10</v>
      </c>
      <c r="H38" s="51">
        <f t="shared" si="3"/>
        <v>60989474</v>
      </c>
      <c r="I38" s="51">
        <f t="shared" si="3"/>
        <v>9140000</v>
      </c>
      <c r="J38" s="45"/>
      <c r="K38" s="49">
        <f t="shared" ref="K38:L44" si="4">G38-B38</f>
        <v>0</v>
      </c>
      <c r="L38" s="38">
        <f t="shared" si="4"/>
        <v>11881991.899999999</v>
      </c>
      <c r="M38" s="38">
        <f>D38-I38</f>
        <v>-1440000</v>
      </c>
    </row>
    <row r="39" spans="1:13" x14ac:dyDescent="0.3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3"/>
        <v>44654</v>
      </c>
      <c r="G39" s="49">
        <f t="shared" si="3"/>
        <v>10</v>
      </c>
      <c r="H39" s="51">
        <f t="shared" si="3"/>
        <v>53162039.32</v>
      </c>
      <c r="I39" s="51">
        <f t="shared" si="3"/>
        <v>7750000</v>
      </c>
      <c r="J39" s="45"/>
      <c r="K39" s="49">
        <f t="shared" si="4"/>
        <v>0</v>
      </c>
      <c r="L39" s="38">
        <f t="shared" si="4"/>
        <v>10646333.100000001</v>
      </c>
      <c r="M39" s="38">
        <f t="shared" ref="M39:M44" si="5">D39-I39</f>
        <v>60000</v>
      </c>
    </row>
    <row r="40" spans="1:13" x14ac:dyDescent="0.3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3"/>
        <v>44660</v>
      </c>
      <c r="G40" s="49">
        <f t="shared" si="3"/>
        <v>10</v>
      </c>
      <c r="H40" s="51">
        <f t="shared" si="3"/>
        <v>62662925</v>
      </c>
      <c r="I40" s="51">
        <f t="shared" si="3"/>
        <v>7900000</v>
      </c>
      <c r="J40" s="45"/>
      <c r="K40" s="49">
        <f t="shared" si="4"/>
        <v>0</v>
      </c>
      <c r="L40" s="38">
        <f t="shared" si="4"/>
        <v>17414920.359999999</v>
      </c>
      <c r="M40" s="38">
        <f t="shared" si="5"/>
        <v>-570000</v>
      </c>
    </row>
    <row r="41" spans="1:13" x14ac:dyDescent="0.3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3"/>
        <v>44667</v>
      </c>
      <c r="G41" s="49">
        <f t="shared" si="3"/>
        <v>9</v>
      </c>
      <c r="H41" s="51">
        <v>45515620.520000003</v>
      </c>
      <c r="I41" s="51">
        <f>I6</f>
        <v>6910000</v>
      </c>
      <c r="J41" s="45"/>
      <c r="K41" s="49">
        <f t="shared" si="4"/>
        <v>-1</v>
      </c>
      <c r="L41" s="38">
        <f t="shared" si="4"/>
        <v>-2959758.049999997</v>
      </c>
      <c r="M41" s="38">
        <f t="shared" si="5"/>
        <v>770000</v>
      </c>
    </row>
    <row r="42" spans="1:13" x14ac:dyDescent="0.3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3"/>
        <v>44668</v>
      </c>
      <c r="G42" s="49">
        <f t="shared" si="3"/>
        <v>9</v>
      </c>
      <c r="H42" s="51">
        <f>H7</f>
        <v>52240794</v>
      </c>
      <c r="I42" s="51">
        <f>I7</f>
        <v>7150000</v>
      </c>
      <c r="J42" s="45"/>
      <c r="K42" s="49">
        <f t="shared" si="4"/>
        <v>-1</v>
      </c>
      <c r="L42" s="38">
        <f t="shared" si="4"/>
        <v>1992987.6099999994</v>
      </c>
      <c r="M42" s="38">
        <f t="shared" si="5"/>
        <v>90000</v>
      </c>
    </row>
    <row r="43" spans="1:13" x14ac:dyDescent="0.3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3"/>
        <v>44669</v>
      </c>
      <c r="G43" s="49">
        <f t="shared" si="3"/>
        <v>9</v>
      </c>
      <c r="H43" s="51">
        <f>H8</f>
        <v>52473678.649999999</v>
      </c>
      <c r="I43" s="51">
        <f>I8</f>
        <v>7090000</v>
      </c>
      <c r="J43" s="45"/>
      <c r="K43" s="49">
        <f t="shared" si="4"/>
        <v>-3</v>
      </c>
      <c r="L43" s="38">
        <f t="shared" si="4"/>
        <v>-10259347.390000001</v>
      </c>
      <c r="M43" s="38">
        <f t="shared" si="5"/>
        <v>10860000</v>
      </c>
    </row>
    <row r="44" spans="1:13" x14ac:dyDescent="0.3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3"/>
        <v>44674</v>
      </c>
      <c r="G44" s="49">
        <f t="shared" si="3"/>
        <v>10</v>
      </c>
      <c r="H44" s="51">
        <f>H9</f>
        <v>61920770</v>
      </c>
      <c r="I44" s="51">
        <f>I9</f>
        <v>8600000</v>
      </c>
      <c r="J44" s="45"/>
      <c r="K44" s="49">
        <f t="shared" si="4"/>
        <v>0</v>
      </c>
      <c r="L44" s="38">
        <f t="shared" si="4"/>
        <v>19141453.229999997</v>
      </c>
      <c r="M44" s="38">
        <f t="shared" si="5"/>
        <v>-470000</v>
      </c>
    </row>
    <row r="45" spans="1:13" x14ac:dyDescent="0.3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" thickBot="1" x14ac:dyDescent="0.4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67</v>
      </c>
      <c r="H46" s="39">
        <f>SUM(H38:H45)</f>
        <v>388965301.49000001</v>
      </c>
      <c r="I46" s="39">
        <f>SUM(I38:I45)</f>
        <v>54540000</v>
      </c>
      <c r="J46" s="46"/>
      <c r="K46" s="14">
        <f>G46-B46</f>
        <v>-5</v>
      </c>
      <c r="L46" s="39">
        <f>SUM(L38:L45)</f>
        <v>47858580.759999998</v>
      </c>
      <c r="M46" s="39">
        <f>SUM(M38:M45)</f>
        <v>9300000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9.5714285714285712</v>
      </c>
      <c r="H48" s="61">
        <f>SUM(H38:H45)/COUNT(H38:H45)</f>
        <v>55566471.641428575</v>
      </c>
      <c r="I48" s="61">
        <f>SUM(I38:I45)/COUNT(I38:I45)</f>
        <v>7791428.5714285718</v>
      </c>
      <c r="J48" s="48"/>
      <c r="K48" s="62">
        <f>SUM(K38:K45)/COUNT(K38:K45)</f>
        <v>-0.7142857142857143</v>
      </c>
      <c r="L48" s="63">
        <f>SUM(L38:L45)/COUNT(L38:L45)</f>
        <v>6836940.1085714279</v>
      </c>
      <c r="M48" s="63">
        <f>SUM(M38:M45)/COUNT(M38:M45)</f>
        <v>1328571.4285714286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H16</f>
        <v>31559220.189999998</v>
      </c>
      <c r="I52" s="69"/>
      <c r="J52" s="45"/>
      <c r="K52" s="68">
        <f>G52-B52</f>
        <v>4</v>
      </c>
      <c r="L52" s="69">
        <f>H52-C52</f>
        <v>17228047.849999998</v>
      </c>
      <c r="M52" s="69"/>
    </row>
    <row r="53" spans="1:13" x14ac:dyDescent="0.3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H17</f>
        <v>85689672.980000004</v>
      </c>
      <c r="I53" s="69"/>
      <c r="J53" s="45"/>
      <c r="K53" s="68">
        <f t="shared" ref="K53:L57" si="6">G53-B53</f>
        <v>0</v>
      </c>
      <c r="L53" s="69">
        <f t="shared" si="6"/>
        <v>17885632.829999998</v>
      </c>
      <c r="M53" s="69"/>
    </row>
    <row r="54" spans="1:13" x14ac:dyDescent="0.3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H18</f>
        <v>69693435.129999995</v>
      </c>
      <c r="I54" s="69"/>
      <c r="J54" s="45"/>
      <c r="K54" s="68">
        <f t="shared" si="6"/>
        <v>0</v>
      </c>
      <c r="L54" s="69">
        <f t="shared" si="6"/>
        <v>5969603.8099999949</v>
      </c>
      <c r="M54" s="69"/>
    </row>
    <row r="55" spans="1:13" x14ac:dyDescent="0.3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H19</f>
        <v>85448577.620000005</v>
      </c>
      <c r="I55" s="69"/>
      <c r="J55" s="45"/>
      <c r="K55" s="68">
        <f t="shared" si="6"/>
        <v>0</v>
      </c>
      <c r="L55" s="69">
        <f t="shared" si="6"/>
        <v>21861517.460000008</v>
      </c>
      <c r="M55" s="69"/>
    </row>
    <row r="56" spans="1:13" x14ac:dyDescent="0.3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H20</f>
        <v>92794180.290000007</v>
      </c>
      <c r="I56" s="69"/>
      <c r="J56" s="45"/>
      <c r="K56" s="68">
        <f t="shared" si="6"/>
        <v>-3</v>
      </c>
      <c r="L56" s="69">
        <f t="shared" si="6"/>
        <v>31879728.870000005</v>
      </c>
      <c r="M56" s="69"/>
    </row>
    <row r="57" spans="1:13" x14ac:dyDescent="0.3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6"/>
        <v>-9236562.7899999991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365185086.21000004</v>
      </c>
      <c r="I59" s="70"/>
      <c r="J59" s="46"/>
      <c r="K59" s="68">
        <f>SUM(K52:K58)</f>
        <v>1</v>
      </c>
      <c r="L59" s="70">
        <f>SUM(L52:L58)</f>
        <v>85587968.030000001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754150387.70000005</v>
      </c>
      <c r="I61" s="72"/>
      <c r="J61" s="46"/>
      <c r="K61" s="71"/>
      <c r="L61" s="72">
        <f>L59+L46</f>
        <v>133446548.78999999</v>
      </c>
      <c r="M61" s="72"/>
    </row>
    <row r="62" spans="1:13" ht="13.5" thickTop="1" x14ac:dyDescent="0.3"/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46C8-2517-49AB-A2CA-DC2896318AA3}">
  <dimension ref="A1:M62"/>
  <sheetViews>
    <sheetView workbookViewId="0">
      <selection activeCell="H21" sqref="H21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6.7265625" style="35" bestFit="1" customWidth="1"/>
    <col min="7" max="7" width="5.7265625" style="35" customWidth="1"/>
    <col min="8" max="8" width="19.81640625" style="35" bestFit="1" customWidth="1"/>
    <col min="9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50">
        <v>44317</v>
      </c>
      <c r="B3" s="49">
        <v>10</v>
      </c>
      <c r="C3" s="51">
        <v>45594704.560000002</v>
      </c>
      <c r="D3" s="51">
        <v>9490000</v>
      </c>
      <c r="F3" s="10">
        <v>44688</v>
      </c>
      <c r="G3" s="90">
        <v>11</v>
      </c>
      <c r="H3" s="51">
        <v>68902391.480000004</v>
      </c>
      <c r="I3" s="51">
        <v>11510000</v>
      </c>
      <c r="J3" s="45"/>
      <c r="K3" s="49">
        <f t="shared" ref="K3:L9" si="0">G3-B3</f>
        <v>1</v>
      </c>
      <c r="L3" s="38">
        <f t="shared" si="0"/>
        <v>23307686.920000002</v>
      </c>
      <c r="M3" s="38">
        <f>D3-I3</f>
        <v>-2020000</v>
      </c>
    </row>
    <row r="4" spans="1:13" ht="14.5" x14ac:dyDescent="0.35">
      <c r="A4" s="50">
        <v>44324</v>
      </c>
      <c r="B4" s="49">
        <v>10</v>
      </c>
      <c r="C4" s="51">
        <v>58021799.700000003</v>
      </c>
      <c r="D4" s="51">
        <v>9280000</v>
      </c>
      <c r="F4" s="10">
        <v>44689</v>
      </c>
      <c r="G4" s="93">
        <v>9</v>
      </c>
      <c r="H4" s="51">
        <v>55819535.049999997</v>
      </c>
      <c r="I4" s="51">
        <v>9940000</v>
      </c>
      <c r="J4" s="45"/>
      <c r="K4" s="49">
        <f t="shared" si="0"/>
        <v>-1</v>
      </c>
      <c r="L4" s="38">
        <f t="shared" si="0"/>
        <v>-2202264.650000006</v>
      </c>
      <c r="M4" s="38">
        <f t="shared" ref="M4:M9" si="1">D4-I4</f>
        <v>-660000</v>
      </c>
    </row>
    <row r="5" spans="1:13" ht="14.5" x14ac:dyDescent="0.35">
      <c r="A5" s="50">
        <v>44331</v>
      </c>
      <c r="B5" s="49">
        <v>10</v>
      </c>
      <c r="C5" s="51">
        <v>54817392.109999999</v>
      </c>
      <c r="D5" s="51">
        <v>7560000</v>
      </c>
      <c r="F5" s="10">
        <v>44695</v>
      </c>
      <c r="G5" s="93">
        <v>11</v>
      </c>
      <c r="H5" s="51">
        <v>68787276</v>
      </c>
      <c r="I5" s="51">
        <v>9080000</v>
      </c>
      <c r="J5" s="45"/>
      <c r="K5" s="49">
        <f t="shared" si="0"/>
        <v>1</v>
      </c>
      <c r="L5" s="38">
        <f t="shared" si="0"/>
        <v>13969883.890000001</v>
      </c>
      <c r="M5" s="38">
        <f t="shared" si="1"/>
        <v>-1520000</v>
      </c>
    </row>
    <row r="6" spans="1:13" ht="14.5" x14ac:dyDescent="0.35">
      <c r="A6" s="50">
        <v>44333</v>
      </c>
      <c r="B6" s="49">
        <v>9</v>
      </c>
      <c r="C6" s="51">
        <v>46160853.039999999</v>
      </c>
      <c r="D6" s="51">
        <v>6550000</v>
      </c>
      <c r="F6" s="10">
        <v>44702</v>
      </c>
      <c r="G6" s="93">
        <v>10</v>
      </c>
      <c r="H6" s="51">
        <v>56317592.880000003</v>
      </c>
      <c r="I6" s="51">
        <v>7190000</v>
      </c>
      <c r="J6" s="45"/>
      <c r="K6" s="49">
        <f t="shared" si="0"/>
        <v>1</v>
      </c>
      <c r="L6" s="38">
        <f t="shared" si="0"/>
        <v>10156739.840000004</v>
      </c>
      <c r="M6" s="38">
        <f t="shared" si="1"/>
        <v>-640000</v>
      </c>
    </row>
    <row r="7" spans="1:13" ht="14.5" x14ac:dyDescent="0.35">
      <c r="A7" s="50">
        <v>44338</v>
      </c>
      <c r="B7" s="49">
        <v>9</v>
      </c>
      <c r="C7" s="51">
        <v>56862365.259999998</v>
      </c>
      <c r="D7" s="51">
        <v>6490000</v>
      </c>
      <c r="F7" s="10">
        <v>44703</v>
      </c>
      <c r="G7" s="93">
        <v>9</v>
      </c>
      <c r="H7" s="51">
        <v>50973587.57</v>
      </c>
      <c r="I7" s="51">
        <v>7500000</v>
      </c>
      <c r="J7" s="45"/>
      <c r="K7" s="49">
        <f t="shared" si="0"/>
        <v>0</v>
      </c>
      <c r="L7" s="38">
        <f t="shared" si="0"/>
        <v>-5888777.6899999976</v>
      </c>
      <c r="M7" s="38">
        <f t="shared" si="1"/>
        <v>-1010000</v>
      </c>
    </row>
    <row r="8" spans="1:13" ht="14.5" x14ac:dyDescent="0.35">
      <c r="A8" s="50">
        <v>44341</v>
      </c>
      <c r="B8" s="49">
        <v>9</v>
      </c>
      <c r="C8" s="51">
        <v>51496617</v>
      </c>
      <c r="D8" s="51">
        <f>600000+690000+680000+660000+620000+870000+900000+1000000+620000</f>
        <v>6640000</v>
      </c>
      <c r="F8" s="10">
        <v>44704</v>
      </c>
      <c r="G8" s="93">
        <v>9</v>
      </c>
      <c r="H8" s="51">
        <v>57685211.840000004</v>
      </c>
      <c r="I8" s="51">
        <v>7500000</v>
      </c>
      <c r="J8" s="45"/>
      <c r="K8" s="49">
        <f t="shared" si="0"/>
        <v>0</v>
      </c>
      <c r="L8" s="38">
        <f t="shared" si="0"/>
        <v>6188594.8400000036</v>
      </c>
      <c r="M8" s="38">
        <f t="shared" si="1"/>
        <v>-860000</v>
      </c>
    </row>
    <row r="9" spans="1:13" ht="14.5" x14ac:dyDescent="0.35">
      <c r="A9" s="50">
        <v>44345</v>
      </c>
      <c r="B9" s="49">
        <v>9</v>
      </c>
      <c r="C9" s="51">
        <v>61666001.659999996</v>
      </c>
      <c r="D9" s="51">
        <v>6110000</v>
      </c>
      <c r="F9" s="10">
        <v>44709</v>
      </c>
      <c r="G9" s="107">
        <v>10</v>
      </c>
      <c r="H9" s="51">
        <v>71091776</v>
      </c>
      <c r="I9" s="108">
        <v>7610000</v>
      </c>
      <c r="J9" s="45"/>
      <c r="K9" s="49">
        <f t="shared" si="0"/>
        <v>1</v>
      </c>
      <c r="L9" s="38">
        <f t="shared" si="0"/>
        <v>9425774.3400000036</v>
      </c>
      <c r="M9" s="38">
        <f t="shared" si="1"/>
        <v>-1500000</v>
      </c>
    </row>
    <row r="10" spans="1:13" ht="14.5" x14ac:dyDescent="0.35">
      <c r="A10" s="50"/>
      <c r="B10" s="49"/>
      <c r="C10" s="51"/>
      <c r="D10" s="51"/>
      <c r="F10" s="10"/>
      <c r="G10" s="49"/>
      <c r="H10" s="51"/>
      <c r="I10" s="43"/>
      <c r="J10" s="45"/>
      <c r="K10" s="49"/>
      <c r="L10" s="38"/>
      <c r="M10" s="38"/>
    </row>
    <row r="11" spans="1:13" ht="15" thickBot="1" x14ac:dyDescent="0.4">
      <c r="A11" s="52" t="s">
        <v>66</v>
      </c>
      <c r="B11" s="52">
        <f>SUM(B3:B10)</f>
        <v>66</v>
      </c>
      <c r="C11" s="39">
        <f>SUM(C3:C10)</f>
        <v>374619733.32999992</v>
      </c>
      <c r="D11" s="54">
        <f>SUM(D3:D10)</f>
        <v>52120000</v>
      </c>
      <c r="F11" s="52" t="s">
        <v>66</v>
      </c>
      <c r="G11" s="52">
        <f>SUM(G3:G10)</f>
        <v>69</v>
      </c>
      <c r="H11" s="39">
        <f>SUM(H3:H10)</f>
        <v>429577370.82000005</v>
      </c>
      <c r="I11" s="39">
        <f>SUM(I3:I10)</f>
        <v>60330000</v>
      </c>
      <c r="J11" s="46"/>
      <c r="K11" s="14">
        <f>G11-B11</f>
        <v>3</v>
      </c>
      <c r="L11" s="39">
        <f>SUM(L3:L10)</f>
        <v>54957637.49000001</v>
      </c>
      <c r="M11" s="39">
        <f>SUM(M3:M10)</f>
        <v>-8210000</v>
      </c>
    </row>
    <row r="12" spans="1:13" ht="13.5" thickTop="1" x14ac:dyDescent="0.3">
      <c r="A12" s="65" t="s">
        <v>72</v>
      </c>
      <c r="B12" s="62">
        <f>SUM(B3:B10)/COUNT(B3:B10)</f>
        <v>9.4285714285714288</v>
      </c>
      <c r="C12" s="63">
        <f>SUM(C3:C10)/COUNT(C3:C10)</f>
        <v>53517104.761428557</v>
      </c>
      <c r="D12" s="63">
        <f>SUM(D3:D10)/COUNT(D3:D10)</f>
        <v>7445714.2857142854</v>
      </c>
      <c r="F12" s="59"/>
      <c r="G12" s="60">
        <f>SUM(G3:G10)/COUNT(G3:G10)</f>
        <v>9.8571428571428577</v>
      </c>
      <c r="H12" s="61">
        <f>SUM(H3:H10)/COUNT(H3:H10)</f>
        <v>61368195.83142858</v>
      </c>
      <c r="I12" s="61">
        <f>SUM(I3:I10)/COUNT(I3:I10)</f>
        <v>8618571.4285714291</v>
      </c>
      <c r="J12" s="48"/>
      <c r="K12" s="62">
        <f>SUM(K3:K10)/COUNT(K3:K10)</f>
        <v>0.42857142857142855</v>
      </c>
      <c r="L12" s="63">
        <f>SUM(L3:L10)/COUNT(L3:L10)</f>
        <v>7851091.0700000012</v>
      </c>
      <c r="M12" s="63">
        <f>SUM(M3:M10)/COUNT(M3:M10)</f>
        <v>-1172857.142857143</v>
      </c>
    </row>
    <row r="13" spans="1:13" x14ac:dyDescent="0.3">
      <c r="C13" s="78">
        <f>C11/B11</f>
        <v>5676056.5656060595</v>
      </c>
      <c r="H13" s="78">
        <f>H11/G11</f>
        <v>6225758.9973913049</v>
      </c>
    </row>
    <row r="14" spans="1:13" x14ac:dyDescent="0.3">
      <c r="A14" s="34" t="s">
        <v>71</v>
      </c>
      <c r="C14" s="35">
        <f>721/7</f>
        <v>103</v>
      </c>
      <c r="H14" s="35">
        <f>662/7</f>
        <v>94.571428571428569</v>
      </c>
    </row>
    <row r="15" spans="1:13" ht="29.5" thickBot="1" x14ac:dyDescent="0.4">
      <c r="A15" s="76" t="s">
        <v>70</v>
      </c>
      <c r="B15" s="76" t="s">
        <v>69</v>
      </c>
      <c r="C15" s="76" t="s">
        <v>65</v>
      </c>
      <c r="D15" s="76"/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4.5" x14ac:dyDescent="0.35">
      <c r="A16" s="73">
        <v>44317</v>
      </c>
      <c r="B16" s="68">
        <v>1</v>
      </c>
      <c r="C16" s="74">
        <v>9802456.4800000004</v>
      </c>
      <c r="D16" s="74"/>
      <c r="F16" s="10">
        <v>44688</v>
      </c>
      <c r="G16" s="68">
        <v>7</v>
      </c>
      <c r="H16" s="74">
        <v>80413727.599999994</v>
      </c>
      <c r="I16" s="69">
        <f>H16/G16</f>
        <v>11487675.37142857</v>
      </c>
      <c r="J16" s="45"/>
      <c r="K16" s="68">
        <f t="shared" ref="K16:L20" si="2">G16-B16</f>
        <v>6</v>
      </c>
      <c r="L16" s="69">
        <f>H16-C16</f>
        <v>70611271.11999999</v>
      </c>
      <c r="M16" s="69"/>
    </row>
    <row r="17" spans="1:13" ht="14.5" x14ac:dyDescent="0.35">
      <c r="A17" s="73">
        <v>44324</v>
      </c>
      <c r="B17" s="68">
        <v>7</v>
      </c>
      <c r="C17" s="74">
        <v>49969904.329999998</v>
      </c>
      <c r="D17" s="74"/>
      <c r="F17" s="10">
        <v>44695</v>
      </c>
      <c r="G17" s="68">
        <v>7</v>
      </c>
      <c r="H17" s="74">
        <f>44318314.43+14466708.57+18925327.66</f>
        <v>77710350.659999996</v>
      </c>
      <c r="I17" s="69">
        <f t="shared" ref="I17:I20" si="3">H17/G17</f>
        <v>11101478.665714284</v>
      </c>
      <c r="J17" s="45"/>
      <c r="K17" s="68">
        <f t="shared" si="2"/>
        <v>0</v>
      </c>
      <c r="L17" s="69">
        <f>H17-C17</f>
        <v>27740446.329999998</v>
      </c>
      <c r="M17" s="69"/>
    </row>
    <row r="18" spans="1:13" ht="14.5" x14ac:dyDescent="0.35">
      <c r="A18" s="73">
        <v>44331</v>
      </c>
      <c r="B18" s="68">
        <v>7</v>
      </c>
      <c r="C18" s="74">
        <v>55333445.479999997</v>
      </c>
      <c r="D18" s="74"/>
      <c r="F18" s="10">
        <v>44702</v>
      </c>
      <c r="G18" s="68">
        <v>7</v>
      </c>
      <c r="H18" s="74">
        <f>26411516+9000000+11000000+14000000+19000000</f>
        <v>79411516</v>
      </c>
      <c r="I18" s="69">
        <f t="shared" si="3"/>
        <v>11344502.285714285</v>
      </c>
      <c r="J18" s="45"/>
      <c r="K18" s="68">
        <f t="shared" si="2"/>
        <v>0</v>
      </c>
      <c r="L18" s="69">
        <f>H18-C18</f>
        <v>24078070.520000003</v>
      </c>
      <c r="M18" s="69"/>
    </row>
    <row r="19" spans="1:13" ht="14.5" x14ac:dyDescent="0.35">
      <c r="A19" s="73">
        <v>44338</v>
      </c>
      <c r="B19" s="68">
        <v>7</v>
      </c>
      <c r="C19" s="74">
        <v>49167716.640000001</v>
      </c>
      <c r="D19" s="74"/>
      <c r="F19" s="10">
        <v>44709</v>
      </c>
      <c r="G19" s="68">
        <v>7</v>
      </c>
      <c r="H19" s="74">
        <f>59539845.99+20000000</f>
        <v>79539845.99000001</v>
      </c>
      <c r="I19" s="69">
        <f t="shared" si="3"/>
        <v>11362835.141428573</v>
      </c>
      <c r="J19" s="45"/>
      <c r="K19" s="68">
        <f t="shared" si="2"/>
        <v>0</v>
      </c>
      <c r="L19" s="69">
        <f t="shared" si="2"/>
        <v>30372129.350000009</v>
      </c>
      <c r="M19" s="69"/>
    </row>
    <row r="20" spans="1:13" ht="14.5" x14ac:dyDescent="0.35">
      <c r="A20" s="73">
        <v>44345</v>
      </c>
      <c r="B20" s="68">
        <v>7</v>
      </c>
      <c r="C20" s="74">
        <v>42401048.060000002</v>
      </c>
      <c r="D20" s="74"/>
      <c r="F20" s="10">
        <v>44712</v>
      </c>
      <c r="G20" s="68">
        <v>3</v>
      </c>
      <c r="H20" s="74">
        <f>12000000+10000000+7000000</f>
        <v>29000000</v>
      </c>
      <c r="I20" s="69">
        <f t="shared" si="3"/>
        <v>9666666.666666666</v>
      </c>
      <c r="J20" s="45"/>
      <c r="K20" s="68">
        <f t="shared" si="2"/>
        <v>-4</v>
      </c>
      <c r="L20" s="69">
        <f t="shared" si="2"/>
        <v>-13401048.060000002</v>
      </c>
      <c r="M20" s="69"/>
    </row>
    <row r="21" spans="1:13" ht="14.5" x14ac:dyDescent="0.35">
      <c r="A21" s="73">
        <v>44347</v>
      </c>
      <c r="B21" s="68">
        <v>2</v>
      </c>
      <c r="C21" s="74">
        <f>2861784.4+10412967.28</f>
        <v>13274751.68</v>
      </c>
      <c r="D21" s="74"/>
      <c r="F21" s="10"/>
      <c r="G21" s="68"/>
      <c r="H21" s="106"/>
      <c r="I21" s="69"/>
      <c r="J21" s="45"/>
      <c r="K21" s="68"/>
      <c r="L21" s="69"/>
      <c r="M21" s="69"/>
    </row>
    <row r="22" spans="1:13" ht="14.5" hidden="1" x14ac:dyDescent="0.3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35">
      <c r="A23" s="75" t="s">
        <v>66</v>
      </c>
      <c r="B23" s="75">
        <f>SUM(B16:B21)</f>
        <v>31</v>
      </c>
      <c r="C23" s="88">
        <f>SUM(C16:C21)</f>
        <v>219949322.67000002</v>
      </c>
      <c r="D23" s="70"/>
      <c r="F23" s="75" t="s">
        <v>66</v>
      </c>
      <c r="G23" s="75">
        <f>SUM(G16:G22)</f>
        <v>31</v>
      </c>
      <c r="H23" s="70">
        <f>SUM(H16:H22)</f>
        <v>346075440.25</v>
      </c>
      <c r="I23" s="70">
        <f>H23/G23</f>
        <v>11163723.879032258</v>
      </c>
      <c r="J23" s="46"/>
      <c r="K23" s="68">
        <f>SUM(K16:K22)</f>
        <v>2</v>
      </c>
      <c r="L23" s="70">
        <f>SUM(L16:L22)</f>
        <v>139400869.25999999</v>
      </c>
      <c r="M23" s="70"/>
    </row>
    <row r="24" spans="1:13" ht="13.5" thickTop="1" x14ac:dyDescent="0.3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35">
      <c r="A25" s="71" t="s">
        <v>67</v>
      </c>
      <c r="B25" s="71"/>
      <c r="C25" s="72">
        <f>C11+C23</f>
        <v>594569056</v>
      </c>
      <c r="D25" s="72"/>
      <c r="E25" s="41"/>
      <c r="F25" s="71" t="s">
        <v>67</v>
      </c>
      <c r="G25" s="71"/>
      <c r="H25" s="72">
        <f>H23+H11</f>
        <v>775652811.07000005</v>
      </c>
      <c r="I25" s="72"/>
      <c r="J25" s="46"/>
      <c r="K25" s="71"/>
      <c r="L25" s="72">
        <f>L23+L11</f>
        <v>194358506.75</v>
      </c>
      <c r="M25" s="72"/>
    </row>
    <row r="26" spans="1:13" ht="13.5" thickTop="1" x14ac:dyDescent="0.3"/>
    <row r="28" spans="1:13" x14ac:dyDescent="0.3">
      <c r="C28" s="78"/>
    </row>
    <row r="32" spans="1:13" x14ac:dyDescent="0.3">
      <c r="C32" s="78"/>
    </row>
    <row r="33" spans="1:13" x14ac:dyDescent="0.3">
      <c r="H33" s="78"/>
      <c r="I33" s="78"/>
    </row>
    <row r="34" spans="1:13" x14ac:dyDescent="0.3">
      <c r="H34" s="78"/>
    </row>
    <row r="35" spans="1:13" x14ac:dyDescent="0.3">
      <c r="H35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4">F3</f>
        <v>44688</v>
      </c>
      <c r="G38" s="49">
        <f t="shared" si="4"/>
        <v>11</v>
      </c>
      <c r="H38" s="51">
        <f t="shared" si="4"/>
        <v>68902391.480000004</v>
      </c>
      <c r="I38" s="51">
        <f t="shared" si="4"/>
        <v>11510000</v>
      </c>
      <c r="J38" s="45"/>
      <c r="K38" s="49">
        <f t="shared" ref="K38:L44" si="5">G38-B38</f>
        <v>1</v>
      </c>
      <c r="L38" s="38">
        <f t="shared" si="5"/>
        <v>19794909.380000003</v>
      </c>
      <c r="M38" s="38">
        <f>D38-I38</f>
        <v>-3810000</v>
      </c>
    </row>
    <row r="39" spans="1:13" x14ac:dyDescent="0.3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4"/>
        <v>44689</v>
      </c>
      <c r="G39" s="49">
        <f t="shared" si="4"/>
        <v>9</v>
      </c>
      <c r="H39" s="51">
        <f t="shared" si="4"/>
        <v>55819535.049999997</v>
      </c>
      <c r="I39" s="51">
        <f t="shared" si="4"/>
        <v>9940000</v>
      </c>
      <c r="J39" s="45"/>
      <c r="K39" s="49">
        <f t="shared" si="5"/>
        <v>-1</v>
      </c>
      <c r="L39" s="38">
        <f t="shared" si="5"/>
        <v>13303828.829999998</v>
      </c>
      <c r="M39" s="38">
        <f t="shared" ref="M39:M44" si="6">D39-I39</f>
        <v>-2130000</v>
      </c>
    </row>
    <row r="40" spans="1:13" x14ac:dyDescent="0.3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4"/>
        <v>44695</v>
      </c>
      <c r="G40" s="49">
        <f t="shared" si="4"/>
        <v>11</v>
      </c>
      <c r="H40" s="51">
        <f t="shared" si="4"/>
        <v>68787276</v>
      </c>
      <c r="I40" s="51">
        <f t="shared" si="4"/>
        <v>9080000</v>
      </c>
      <c r="J40" s="45"/>
      <c r="K40" s="49">
        <f t="shared" si="5"/>
        <v>1</v>
      </c>
      <c r="L40" s="38">
        <f t="shared" si="5"/>
        <v>23539271.359999999</v>
      </c>
      <c r="M40" s="38">
        <f t="shared" si="6"/>
        <v>-1750000</v>
      </c>
    </row>
    <row r="41" spans="1:13" x14ac:dyDescent="0.3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4"/>
        <v>44702</v>
      </c>
      <c r="G41" s="49">
        <f t="shared" si="4"/>
        <v>10</v>
      </c>
      <c r="H41" s="51">
        <v>45515620.520000003</v>
      </c>
      <c r="I41" s="51">
        <f>I6</f>
        <v>7190000</v>
      </c>
      <c r="J41" s="45"/>
      <c r="K41" s="49">
        <f t="shared" si="5"/>
        <v>0</v>
      </c>
      <c r="L41" s="38">
        <f t="shared" si="5"/>
        <v>-2959758.049999997</v>
      </c>
      <c r="M41" s="38">
        <f t="shared" si="6"/>
        <v>490000</v>
      </c>
    </row>
    <row r="42" spans="1:13" x14ac:dyDescent="0.3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4"/>
        <v>44703</v>
      </c>
      <c r="G42" s="49">
        <f t="shared" si="4"/>
        <v>9</v>
      </c>
      <c r="H42" s="51">
        <f>H7</f>
        <v>50973587.57</v>
      </c>
      <c r="I42" s="51">
        <f>I7</f>
        <v>7500000</v>
      </c>
      <c r="J42" s="45"/>
      <c r="K42" s="49">
        <f t="shared" si="5"/>
        <v>-1</v>
      </c>
      <c r="L42" s="38">
        <f t="shared" si="5"/>
        <v>725781.1799999997</v>
      </c>
      <c r="M42" s="38">
        <f t="shared" si="6"/>
        <v>-260000</v>
      </c>
    </row>
    <row r="43" spans="1:13" x14ac:dyDescent="0.3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4"/>
        <v>44704</v>
      </c>
      <c r="G43" s="49">
        <f t="shared" si="4"/>
        <v>9</v>
      </c>
      <c r="H43" s="51">
        <f>H8</f>
        <v>57685211.840000004</v>
      </c>
      <c r="I43" s="51">
        <f>I8</f>
        <v>7500000</v>
      </c>
      <c r="J43" s="45"/>
      <c r="K43" s="49">
        <f t="shared" si="5"/>
        <v>-3</v>
      </c>
      <c r="L43" s="38">
        <f t="shared" si="5"/>
        <v>-5047814.1999999955</v>
      </c>
      <c r="M43" s="38">
        <f t="shared" si="6"/>
        <v>10450000</v>
      </c>
    </row>
    <row r="44" spans="1:13" x14ac:dyDescent="0.3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4"/>
        <v>44709</v>
      </c>
      <c r="G44" s="49">
        <f t="shared" si="4"/>
        <v>10</v>
      </c>
      <c r="H44" s="51">
        <f>H9</f>
        <v>71091776</v>
      </c>
      <c r="I44" s="51">
        <f>I9</f>
        <v>7610000</v>
      </c>
      <c r="J44" s="45"/>
      <c r="K44" s="49">
        <f t="shared" si="5"/>
        <v>0</v>
      </c>
      <c r="L44" s="38">
        <f t="shared" si="5"/>
        <v>28312459.229999997</v>
      </c>
      <c r="M44" s="38">
        <f t="shared" si="6"/>
        <v>520000</v>
      </c>
    </row>
    <row r="45" spans="1:13" x14ac:dyDescent="0.3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" thickBot="1" x14ac:dyDescent="0.4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69</v>
      </c>
      <c r="H46" s="39">
        <f>SUM(H38:H45)</f>
        <v>418775398.46000004</v>
      </c>
      <c r="I46" s="39">
        <f>SUM(I38:I45)</f>
        <v>60330000</v>
      </c>
      <c r="J46" s="46"/>
      <c r="K46" s="14">
        <f>G46-B46</f>
        <v>-3</v>
      </c>
      <c r="L46" s="39">
        <f>SUM(L38:L45)</f>
        <v>77668677.730000004</v>
      </c>
      <c r="M46" s="39">
        <f>SUM(M38:M45)</f>
        <v>3510000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9.8571428571428577</v>
      </c>
      <c r="H48" s="61">
        <f>SUM(H38:H45)/COUNT(H38:H45)</f>
        <v>59825056.92285715</v>
      </c>
      <c r="I48" s="61">
        <f>SUM(I38:I45)/COUNT(I38:I45)</f>
        <v>8618571.4285714291</v>
      </c>
      <c r="J48" s="48"/>
      <c r="K48" s="62">
        <f>SUM(K38:K45)/COUNT(K38:K45)</f>
        <v>-0.42857142857142855</v>
      </c>
      <c r="L48" s="63">
        <f>SUM(L38:L45)/COUNT(L38:L45)</f>
        <v>11095525.390000001</v>
      </c>
      <c r="M48" s="63">
        <f>SUM(M38:M45)/COUNT(M38:M45)</f>
        <v>501428.57142857142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H16</f>
        <v>80413727.599999994</v>
      </c>
      <c r="I52" s="69"/>
      <c r="J52" s="45"/>
      <c r="K52" s="68">
        <f>G52-B52</f>
        <v>4</v>
      </c>
      <c r="L52" s="69">
        <f>H52-C52</f>
        <v>66082555.25999999</v>
      </c>
      <c r="M52" s="69"/>
    </row>
    <row r="53" spans="1:13" x14ac:dyDescent="0.3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H17</f>
        <v>77710350.659999996</v>
      </c>
      <c r="I53" s="69"/>
      <c r="J53" s="45"/>
      <c r="K53" s="68">
        <f t="shared" ref="K53:L57" si="7">G53-B53</f>
        <v>0</v>
      </c>
      <c r="L53" s="69">
        <f t="shared" si="7"/>
        <v>9906310.5099999905</v>
      </c>
      <c r="M53" s="69"/>
    </row>
    <row r="54" spans="1:13" x14ac:dyDescent="0.3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H18</f>
        <v>79411516</v>
      </c>
      <c r="I54" s="69"/>
      <c r="J54" s="45"/>
      <c r="K54" s="68">
        <f t="shared" si="7"/>
        <v>0</v>
      </c>
      <c r="L54" s="69">
        <f t="shared" si="7"/>
        <v>15687684.68</v>
      </c>
      <c r="M54" s="69"/>
    </row>
    <row r="55" spans="1:13" x14ac:dyDescent="0.3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H19</f>
        <v>79539845.99000001</v>
      </c>
      <c r="I55" s="69"/>
      <c r="J55" s="45"/>
      <c r="K55" s="68">
        <f t="shared" si="7"/>
        <v>0</v>
      </c>
      <c r="L55" s="69">
        <f t="shared" si="7"/>
        <v>15952785.830000013</v>
      </c>
      <c r="M55" s="69"/>
    </row>
    <row r="56" spans="1:13" x14ac:dyDescent="0.3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H20</f>
        <v>29000000</v>
      </c>
      <c r="I56" s="69"/>
      <c r="J56" s="45"/>
      <c r="K56" s="68">
        <f t="shared" si="7"/>
        <v>-3</v>
      </c>
      <c r="L56" s="69">
        <f t="shared" si="7"/>
        <v>-31914451.420000002</v>
      </c>
      <c r="M56" s="69"/>
    </row>
    <row r="57" spans="1:13" x14ac:dyDescent="0.3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7"/>
        <v>-9236562.7899999991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346075440.25</v>
      </c>
      <c r="I59" s="70"/>
      <c r="J59" s="46"/>
      <c r="K59" s="68">
        <f>SUM(K52:K58)</f>
        <v>1</v>
      </c>
      <c r="L59" s="70">
        <f>SUM(L52:L58)</f>
        <v>66478322.07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764850838.71000004</v>
      </c>
      <c r="I61" s="72"/>
      <c r="J61" s="46"/>
      <c r="K61" s="71"/>
      <c r="L61" s="72">
        <f>L59+L46</f>
        <v>144146999.80000001</v>
      </c>
      <c r="M61" s="72"/>
    </row>
    <row r="62" spans="1:13" ht="13.5" thickTop="1" x14ac:dyDescent="0.3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8D42-DF53-4DF4-A0AE-D23854F59C48}">
  <dimension ref="A1:M62"/>
  <sheetViews>
    <sheetView workbookViewId="0">
      <selection activeCell="F16" sqref="F16:H20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6.7265625" style="35" bestFit="1" customWidth="1"/>
    <col min="7" max="7" width="5.7265625" style="35" customWidth="1"/>
    <col min="8" max="8" width="19.81640625" style="35" bestFit="1" customWidth="1"/>
    <col min="9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50">
        <v>44352</v>
      </c>
      <c r="B3" s="49">
        <v>10</v>
      </c>
      <c r="C3" s="51">
        <v>67900000</v>
      </c>
      <c r="D3" s="51">
        <v>14100000</v>
      </c>
      <c r="F3" s="10">
        <v>44716</v>
      </c>
      <c r="G3" s="90">
        <v>11</v>
      </c>
      <c r="H3" s="51">
        <v>72331455.049999997</v>
      </c>
      <c r="I3" s="51">
        <v>12180000</v>
      </c>
      <c r="J3" s="45"/>
      <c r="K3" s="49">
        <f t="shared" ref="K3:L9" si="0">G3-B3</f>
        <v>1</v>
      </c>
      <c r="L3" s="38">
        <f t="shared" si="0"/>
        <v>4431455.049999997</v>
      </c>
      <c r="M3" s="38">
        <f>D3-I3</f>
        <v>1920000</v>
      </c>
    </row>
    <row r="4" spans="1:13" ht="14.5" x14ac:dyDescent="0.35">
      <c r="A4" s="50">
        <v>44354</v>
      </c>
      <c r="B4" s="49">
        <v>10</v>
      </c>
      <c r="C4" s="51">
        <v>52466852.020000003</v>
      </c>
      <c r="D4" s="51">
        <f>600000+660000+600000+720000+620000+650000+650000+1500000+870000+1000000</f>
        <v>7870000</v>
      </c>
      <c r="F4" s="10">
        <v>44717</v>
      </c>
      <c r="G4" s="93">
        <v>9</v>
      </c>
      <c r="H4" s="51">
        <v>59920577</v>
      </c>
      <c r="I4" s="51">
        <v>10035000</v>
      </c>
      <c r="J4" s="45"/>
      <c r="K4" s="49">
        <f t="shared" si="0"/>
        <v>-1</v>
      </c>
      <c r="L4" s="38">
        <f t="shared" si="0"/>
        <v>7453724.9799999967</v>
      </c>
      <c r="M4" s="38">
        <f t="shared" ref="M4:M9" si="1">D4-I4</f>
        <v>-2165000</v>
      </c>
    </row>
    <row r="5" spans="1:13" ht="14.5" x14ac:dyDescent="0.35">
      <c r="A5" s="50">
        <v>44359</v>
      </c>
      <c r="B5" s="49">
        <v>10</v>
      </c>
      <c r="C5" s="51">
        <v>58011655.32</v>
      </c>
      <c r="D5" s="51">
        <v>7180000</v>
      </c>
      <c r="F5" s="10">
        <v>44723</v>
      </c>
      <c r="G5" s="93">
        <v>9</v>
      </c>
      <c r="H5" s="51">
        <v>62460724.270000003</v>
      </c>
      <c r="I5" s="51">
        <v>6980000</v>
      </c>
      <c r="J5" s="45"/>
      <c r="K5" s="49">
        <f t="shared" si="0"/>
        <v>-1</v>
      </c>
      <c r="L5" s="38">
        <f t="shared" si="0"/>
        <v>4449068.950000003</v>
      </c>
      <c r="M5" s="38">
        <f t="shared" si="1"/>
        <v>200000</v>
      </c>
    </row>
    <row r="6" spans="1:13" ht="14.5" x14ac:dyDescent="0.35">
      <c r="A6" s="50">
        <v>44366</v>
      </c>
      <c r="B6" s="49">
        <v>9</v>
      </c>
      <c r="C6" s="51">
        <v>54336989.380000003</v>
      </c>
      <c r="D6" s="51">
        <v>7360000</v>
      </c>
      <c r="F6" s="10">
        <v>44730</v>
      </c>
      <c r="G6" s="93">
        <v>11</v>
      </c>
      <c r="H6" s="51">
        <v>78734216.040000007</v>
      </c>
      <c r="I6" s="51">
        <v>8530000</v>
      </c>
      <c r="J6" s="45"/>
      <c r="K6" s="49">
        <f t="shared" si="0"/>
        <v>2</v>
      </c>
      <c r="L6" s="38">
        <f t="shared" si="0"/>
        <v>24397226.660000004</v>
      </c>
      <c r="M6" s="38">
        <f t="shared" si="1"/>
        <v>-1170000</v>
      </c>
    </row>
    <row r="7" spans="1:13" ht="14.5" x14ac:dyDescent="0.35">
      <c r="A7" s="50">
        <v>44368</v>
      </c>
      <c r="B7" s="49">
        <v>10</v>
      </c>
      <c r="C7" s="51">
        <v>51761655</v>
      </c>
      <c r="D7" s="51">
        <v>8360000</v>
      </c>
      <c r="F7" s="10">
        <v>44731</v>
      </c>
      <c r="G7" s="93">
        <v>10</v>
      </c>
      <c r="H7" s="51">
        <v>52450329</v>
      </c>
      <c r="I7" s="51">
        <v>7910000</v>
      </c>
      <c r="J7" s="45"/>
      <c r="K7" s="49">
        <f t="shared" si="0"/>
        <v>0</v>
      </c>
      <c r="L7" s="38">
        <f t="shared" si="0"/>
        <v>688674</v>
      </c>
      <c r="M7" s="38">
        <f t="shared" si="1"/>
        <v>450000</v>
      </c>
    </row>
    <row r="8" spans="1:13" ht="14.5" x14ac:dyDescent="0.35">
      <c r="A8" s="50">
        <v>44373</v>
      </c>
      <c r="B8" s="49">
        <v>10</v>
      </c>
      <c r="C8" s="51">
        <v>63177944</v>
      </c>
      <c r="D8" s="51">
        <f>600000+600000+690000+600000+900000+870000+930000+650000+1150000+750000</f>
        <v>7740000</v>
      </c>
      <c r="F8" s="10">
        <v>44737</v>
      </c>
      <c r="G8" s="93">
        <v>11</v>
      </c>
      <c r="H8" s="51">
        <v>71452266.150000006</v>
      </c>
      <c r="I8" s="51">
        <v>9525000</v>
      </c>
      <c r="J8" s="45"/>
      <c r="K8" s="49">
        <f t="shared" si="0"/>
        <v>1</v>
      </c>
      <c r="L8" s="38">
        <f t="shared" si="0"/>
        <v>8274322.150000006</v>
      </c>
      <c r="M8" s="38">
        <f t="shared" si="1"/>
        <v>-1785000</v>
      </c>
    </row>
    <row r="9" spans="1:13" ht="14.5" x14ac:dyDescent="0.35">
      <c r="A9" s="50">
        <v>44375</v>
      </c>
      <c r="B9" s="49">
        <v>10</v>
      </c>
      <c r="C9" s="51">
        <v>50549645</v>
      </c>
      <c r="D9" s="51">
        <f>620000+660000+600000+720000+500000+900000+1000000+600000+870000+620000</f>
        <v>7090000</v>
      </c>
      <c r="F9" s="10">
        <v>44738</v>
      </c>
      <c r="G9" s="107">
        <v>10</v>
      </c>
      <c r="H9" s="51">
        <v>66654270</v>
      </c>
      <c r="I9" s="108">
        <v>7980000</v>
      </c>
      <c r="J9" s="45"/>
      <c r="K9" s="49">
        <f t="shared" si="0"/>
        <v>0</v>
      </c>
      <c r="L9" s="38">
        <f t="shared" si="0"/>
        <v>16104625</v>
      </c>
      <c r="M9" s="38">
        <f t="shared" si="1"/>
        <v>-890000</v>
      </c>
    </row>
    <row r="10" spans="1:13" ht="14.5" x14ac:dyDescent="0.35">
      <c r="A10" s="50"/>
      <c r="B10" s="49"/>
      <c r="C10" s="51"/>
      <c r="D10" s="51"/>
      <c r="F10" s="10"/>
      <c r="G10" s="49"/>
      <c r="H10" s="51"/>
      <c r="I10" s="43"/>
      <c r="J10" s="45"/>
      <c r="K10" s="49"/>
      <c r="L10" s="38"/>
      <c r="M10" s="38"/>
    </row>
    <row r="11" spans="1:13" ht="15" thickBot="1" x14ac:dyDescent="0.4">
      <c r="A11" s="52" t="s">
        <v>66</v>
      </c>
      <c r="B11" s="52">
        <f>SUM(B3:B10)</f>
        <v>69</v>
      </c>
      <c r="C11" s="39">
        <f>SUM(C3:C10)</f>
        <v>398204740.72000003</v>
      </c>
      <c r="D11" s="54">
        <f>SUM(D3:D10)</f>
        <v>59700000</v>
      </c>
      <c r="F11" s="52" t="s">
        <v>66</v>
      </c>
      <c r="G11" s="52">
        <f>SUM(G3:G10)</f>
        <v>71</v>
      </c>
      <c r="H11" s="39">
        <f>SUM(H3:H10)</f>
        <v>464003837.50999999</v>
      </c>
      <c r="I11" s="39">
        <f>SUM(I3:I10)</f>
        <v>63140000</v>
      </c>
      <c r="J11" s="46"/>
      <c r="K11" s="14">
        <f>G11-B11</f>
        <v>2</v>
      </c>
      <c r="L11" s="39">
        <f>SUM(L3:L10)</f>
        <v>65799096.790000007</v>
      </c>
      <c r="M11" s="39">
        <f>SUM(M3:M10)</f>
        <v>-3440000</v>
      </c>
    </row>
    <row r="12" spans="1:13" ht="13.5" thickTop="1" x14ac:dyDescent="0.3">
      <c r="A12" s="65" t="s">
        <v>72</v>
      </c>
      <c r="B12" s="62">
        <f>SUM(B3:B10)/COUNT(B3:B10)</f>
        <v>9.8571428571428577</v>
      </c>
      <c r="C12" s="63">
        <f>SUM(C3:C10)/COUNT(C3:C10)</f>
        <v>56886391.531428576</v>
      </c>
      <c r="D12" s="63">
        <f>SUM(D3:D10)/COUNT(D3:D10)</f>
        <v>8528571.4285714291</v>
      </c>
      <c r="F12" s="59"/>
      <c r="G12" s="60">
        <f>SUM(G3:G10)/COUNT(G3:G10)</f>
        <v>10.142857142857142</v>
      </c>
      <c r="H12" s="61">
        <f>SUM(H3:H10)/COUNT(H3:H10)</f>
        <v>66286262.501428567</v>
      </c>
      <c r="I12" s="61">
        <f>SUM(I3:I10)/COUNT(I3:I10)</f>
        <v>9020000</v>
      </c>
      <c r="J12" s="48"/>
      <c r="K12" s="62">
        <f>SUM(K3:K10)/COUNT(K3:K10)</f>
        <v>0.2857142857142857</v>
      </c>
      <c r="L12" s="63">
        <f>SUM(L3:L10)/COUNT(L3:L10)</f>
        <v>9399870.9700000007</v>
      </c>
      <c r="M12" s="63">
        <f>SUM(M3:M10)/COUNT(M3:M10)</f>
        <v>-491428.57142857142</v>
      </c>
    </row>
    <row r="13" spans="1:13" x14ac:dyDescent="0.3">
      <c r="H13" s="78">
        <f>H11/G11</f>
        <v>6535265.317042253</v>
      </c>
    </row>
    <row r="14" spans="1:13" x14ac:dyDescent="0.3">
      <c r="A14" s="34" t="s">
        <v>71</v>
      </c>
    </row>
    <row r="15" spans="1:13" ht="29.5" thickBot="1" x14ac:dyDescent="0.4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4.5" x14ac:dyDescent="0.35">
      <c r="A16" s="73">
        <v>44352</v>
      </c>
      <c r="B16" s="68">
        <v>5</v>
      </c>
      <c r="C16" s="74">
        <v>52150158.969999999</v>
      </c>
      <c r="D16" s="74">
        <f>C16/B16</f>
        <v>10430031.794</v>
      </c>
      <c r="F16" s="10">
        <v>44716</v>
      </c>
      <c r="G16" s="68">
        <v>4</v>
      </c>
      <c r="H16" s="74">
        <v>52816907.5</v>
      </c>
      <c r="I16" s="69">
        <f>H16/G16</f>
        <v>13204226.875</v>
      </c>
      <c r="J16" s="45"/>
      <c r="K16" s="68">
        <f t="shared" ref="K16:L20" si="2">G16-B16</f>
        <v>-1</v>
      </c>
      <c r="L16" s="69">
        <f>H16-C16</f>
        <v>666748.53000000119</v>
      </c>
      <c r="M16" s="69"/>
    </row>
    <row r="17" spans="1:13" ht="14.5" x14ac:dyDescent="0.35">
      <c r="A17" s="73">
        <v>44359</v>
      </c>
      <c r="B17" s="68">
        <v>7</v>
      </c>
      <c r="C17" s="74">
        <v>58627768.119999997</v>
      </c>
      <c r="D17" s="74">
        <f t="shared" ref="D17:D20" si="3">C17/B17</f>
        <v>8375395.4457142856</v>
      </c>
      <c r="F17" s="10">
        <v>44723</v>
      </c>
      <c r="G17" s="68">
        <v>7</v>
      </c>
      <c r="H17" s="74">
        <v>80465533.269999996</v>
      </c>
      <c r="I17" s="69">
        <f t="shared" ref="I17:I20" si="4">H17/G17</f>
        <v>11495076.18142857</v>
      </c>
      <c r="J17" s="45"/>
      <c r="K17" s="68">
        <f t="shared" si="2"/>
        <v>0</v>
      </c>
      <c r="L17" s="69">
        <f>H17-C17</f>
        <v>21837765.149999999</v>
      </c>
      <c r="M17" s="69"/>
    </row>
    <row r="18" spans="1:13" ht="14.5" x14ac:dyDescent="0.35">
      <c r="A18" s="73">
        <v>44366</v>
      </c>
      <c r="B18" s="68">
        <v>7</v>
      </c>
      <c r="C18" s="74">
        <v>63183597.68</v>
      </c>
      <c r="D18" s="74">
        <f t="shared" si="3"/>
        <v>9026228.2400000002</v>
      </c>
      <c r="F18" s="10">
        <v>44730</v>
      </c>
      <c r="G18" s="68">
        <v>7</v>
      </c>
      <c r="H18" s="74">
        <v>77982545.329999998</v>
      </c>
      <c r="I18" s="69">
        <f t="shared" si="4"/>
        <v>11140363.618571429</v>
      </c>
      <c r="J18" s="45"/>
      <c r="K18" s="68">
        <f t="shared" si="2"/>
        <v>0</v>
      </c>
      <c r="L18" s="69">
        <f>H18-C18</f>
        <v>14798947.649999999</v>
      </c>
      <c r="M18" s="69"/>
    </row>
    <row r="19" spans="1:13" ht="14.5" x14ac:dyDescent="0.35">
      <c r="A19" s="73">
        <v>44373</v>
      </c>
      <c r="B19" s="68">
        <v>7</v>
      </c>
      <c r="C19" s="74">
        <v>60675716.630000003</v>
      </c>
      <c r="D19" s="74">
        <f t="shared" si="3"/>
        <v>8667959.518571429</v>
      </c>
      <c r="F19" s="10">
        <v>44737</v>
      </c>
      <c r="G19" s="68">
        <v>7</v>
      </c>
      <c r="H19" s="74">
        <f>59295132.86+17396604.31</f>
        <v>76691737.170000002</v>
      </c>
      <c r="I19" s="69">
        <f t="shared" si="4"/>
        <v>10955962.452857142</v>
      </c>
      <c r="J19" s="45"/>
      <c r="K19" s="68">
        <f t="shared" si="2"/>
        <v>0</v>
      </c>
      <c r="L19" s="69">
        <f t="shared" si="2"/>
        <v>16016020.539999999</v>
      </c>
      <c r="M19" s="69"/>
    </row>
    <row r="20" spans="1:13" ht="14.5" x14ac:dyDescent="0.35">
      <c r="A20" s="73">
        <v>44377</v>
      </c>
      <c r="B20" s="68">
        <v>4</v>
      </c>
      <c r="C20" s="74">
        <v>25888518.09</v>
      </c>
      <c r="D20" s="74">
        <f t="shared" si="3"/>
        <v>6472129.5225</v>
      </c>
      <c r="F20" s="10">
        <v>44742</v>
      </c>
      <c r="G20" s="68">
        <v>5</v>
      </c>
      <c r="H20" s="74">
        <f>25929938.5+22423265.57</f>
        <v>48353204.07</v>
      </c>
      <c r="I20" s="69">
        <f t="shared" si="4"/>
        <v>9670640.8139999993</v>
      </c>
      <c r="J20" s="45"/>
      <c r="K20" s="68">
        <f t="shared" si="2"/>
        <v>1</v>
      </c>
      <c r="L20" s="69">
        <f t="shared" si="2"/>
        <v>22464685.98</v>
      </c>
      <c r="M20" s="69"/>
    </row>
    <row r="21" spans="1:13" ht="14.5" x14ac:dyDescent="0.35">
      <c r="A21" s="73"/>
      <c r="B21" s="68"/>
      <c r="C21" s="74"/>
      <c r="D21" s="74"/>
      <c r="F21" s="10"/>
      <c r="G21" s="68"/>
      <c r="H21" s="106"/>
      <c r="I21" s="69"/>
      <c r="J21" s="45"/>
      <c r="K21" s="68"/>
      <c r="L21" s="69"/>
      <c r="M21" s="69"/>
    </row>
    <row r="22" spans="1:13" ht="14.5" hidden="1" x14ac:dyDescent="0.3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35">
      <c r="A23" s="75" t="s">
        <v>66</v>
      </c>
      <c r="B23" s="75">
        <f>SUM(B16:B21)</f>
        <v>30</v>
      </c>
      <c r="C23" s="88">
        <f>SUM(C16:C21)</f>
        <v>260525759.49000001</v>
      </c>
      <c r="D23" s="88">
        <f>C23/B23</f>
        <v>8684191.9830000009</v>
      </c>
      <c r="F23" s="75" t="s">
        <v>66</v>
      </c>
      <c r="G23" s="75">
        <f>SUM(G16:G22)</f>
        <v>30</v>
      </c>
      <c r="H23" s="70">
        <f>SUM(H16:H22)</f>
        <v>336309927.33999997</v>
      </c>
      <c r="I23" s="70">
        <f>H23/G23</f>
        <v>11210330.911333332</v>
      </c>
      <c r="J23" s="46"/>
      <c r="K23" s="68">
        <f>SUM(K16:K22)</f>
        <v>0</v>
      </c>
      <c r="L23" s="70">
        <f>SUM(L16:L22)</f>
        <v>75784167.849999994</v>
      </c>
      <c r="M23" s="70"/>
    </row>
    <row r="24" spans="1:13" ht="13.5" thickTop="1" x14ac:dyDescent="0.3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35">
      <c r="A25" s="71" t="s">
        <v>67</v>
      </c>
      <c r="B25" s="71"/>
      <c r="C25" s="72">
        <f>C11+C23</f>
        <v>658730500.21000004</v>
      </c>
      <c r="D25" s="72"/>
      <c r="E25" s="41"/>
      <c r="F25" s="71" t="s">
        <v>67</v>
      </c>
      <c r="G25" s="71"/>
      <c r="H25" s="72">
        <f>H23+H11</f>
        <v>800313764.8499999</v>
      </c>
      <c r="I25" s="72"/>
      <c r="J25" s="46"/>
      <c r="K25" s="71"/>
      <c r="L25" s="72">
        <f>L23+L11</f>
        <v>141583264.63999999</v>
      </c>
      <c r="M25" s="72"/>
    </row>
    <row r="26" spans="1:13" ht="13.5" thickTop="1" x14ac:dyDescent="0.3"/>
    <row r="28" spans="1:13" x14ac:dyDescent="0.3">
      <c r="C28" s="78"/>
    </row>
    <row r="32" spans="1:13" x14ac:dyDescent="0.3">
      <c r="C32" s="78"/>
    </row>
    <row r="33" spans="1:13" x14ac:dyDescent="0.3">
      <c r="H33" s="78"/>
      <c r="I33" s="78"/>
    </row>
    <row r="34" spans="1:13" x14ac:dyDescent="0.3">
      <c r="H34" s="78"/>
    </row>
    <row r="35" spans="1:13" x14ac:dyDescent="0.3">
      <c r="H35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5">F3</f>
        <v>44716</v>
      </c>
      <c r="G38" s="49">
        <f t="shared" si="5"/>
        <v>11</v>
      </c>
      <c r="H38" s="51">
        <f t="shared" si="5"/>
        <v>72331455.049999997</v>
      </c>
      <c r="I38" s="51">
        <f t="shared" si="5"/>
        <v>12180000</v>
      </c>
      <c r="J38" s="45"/>
      <c r="K38" s="49">
        <f t="shared" ref="K38:L44" si="6">G38-B38</f>
        <v>1</v>
      </c>
      <c r="L38" s="38">
        <f t="shared" si="6"/>
        <v>23223972.949999996</v>
      </c>
      <c r="M38" s="38">
        <f>D38-I38</f>
        <v>-4480000</v>
      </c>
    </row>
    <row r="39" spans="1:13" x14ac:dyDescent="0.3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5"/>
        <v>44717</v>
      </c>
      <c r="G39" s="49">
        <f t="shared" si="5"/>
        <v>9</v>
      </c>
      <c r="H39" s="51">
        <f t="shared" si="5"/>
        <v>59920577</v>
      </c>
      <c r="I39" s="51">
        <f t="shared" si="5"/>
        <v>10035000</v>
      </c>
      <c r="J39" s="45"/>
      <c r="K39" s="49">
        <f t="shared" si="6"/>
        <v>-1</v>
      </c>
      <c r="L39" s="38">
        <f t="shared" si="6"/>
        <v>17404870.780000001</v>
      </c>
      <c r="M39" s="38">
        <f t="shared" ref="M39:M44" si="7">D39-I39</f>
        <v>-2225000</v>
      </c>
    </row>
    <row r="40" spans="1:13" x14ac:dyDescent="0.3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5"/>
        <v>44723</v>
      </c>
      <c r="G40" s="49">
        <f t="shared" si="5"/>
        <v>9</v>
      </c>
      <c r="H40" s="51">
        <f t="shared" si="5"/>
        <v>62460724.270000003</v>
      </c>
      <c r="I40" s="51">
        <f t="shared" si="5"/>
        <v>6980000</v>
      </c>
      <c r="J40" s="45"/>
      <c r="K40" s="49">
        <f t="shared" si="6"/>
        <v>-1</v>
      </c>
      <c r="L40" s="38">
        <f t="shared" si="6"/>
        <v>17212719.630000003</v>
      </c>
      <c r="M40" s="38">
        <f t="shared" si="7"/>
        <v>350000</v>
      </c>
    </row>
    <row r="41" spans="1:13" x14ac:dyDescent="0.3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5"/>
        <v>44730</v>
      </c>
      <c r="G41" s="49">
        <f t="shared" si="5"/>
        <v>11</v>
      </c>
      <c r="H41" s="51">
        <v>45515620.520000003</v>
      </c>
      <c r="I41" s="51">
        <f>I6</f>
        <v>8530000</v>
      </c>
      <c r="J41" s="45"/>
      <c r="K41" s="49">
        <f t="shared" si="6"/>
        <v>1</v>
      </c>
      <c r="L41" s="38">
        <f t="shared" si="6"/>
        <v>-2959758.049999997</v>
      </c>
      <c r="M41" s="38">
        <f t="shared" si="7"/>
        <v>-850000</v>
      </c>
    </row>
    <row r="42" spans="1:13" x14ac:dyDescent="0.3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5"/>
        <v>44731</v>
      </c>
      <c r="G42" s="49">
        <f t="shared" si="5"/>
        <v>10</v>
      </c>
      <c r="H42" s="51">
        <f>H7</f>
        <v>52450329</v>
      </c>
      <c r="I42" s="51">
        <f>I7</f>
        <v>7910000</v>
      </c>
      <c r="J42" s="45"/>
      <c r="K42" s="49">
        <f t="shared" si="6"/>
        <v>0</v>
      </c>
      <c r="L42" s="38">
        <f t="shared" si="6"/>
        <v>2202522.6099999994</v>
      </c>
      <c r="M42" s="38">
        <f t="shared" si="7"/>
        <v>-670000</v>
      </c>
    </row>
    <row r="43" spans="1:13" x14ac:dyDescent="0.3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5"/>
        <v>44737</v>
      </c>
      <c r="G43" s="49">
        <f t="shared" si="5"/>
        <v>11</v>
      </c>
      <c r="H43" s="51">
        <f>H8</f>
        <v>71452266.150000006</v>
      </c>
      <c r="I43" s="51">
        <f>I8</f>
        <v>9525000</v>
      </c>
      <c r="J43" s="45"/>
      <c r="K43" s="49">
        <f t="shared" si="6"/>
        <v>-1</v>
      </c>
      <c r="L43" s="38">
        <f t="shared" si="6"/>
        <v>8719240.1100000069</v>
      </c>
      <c r="M43" s="38">
        <f t="shared" si="7"/>
        <v>8425000</v>
      </c>
    </row>
    <row r="44" spans="1:13" x14ac:dyDescent="0.3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5"/>
        <v>44738</v>
      </c>
      <c r="G44" s="49">
        <f t="shared" si="5"/>
        <v>10</v>
      </c>
      <c r="H44" s="51">
        <f>H9</f>
        <v>66654270</v>
      </c>
      <c r="I44" s="51">
        <f>I9</f>
        <v>7980000</v>
      </c>
      <c r="J44" s="45"/>
      <c r="K44" s="49">
        <f t="shared" si="6"/>
        <v>0</v>
      </c>
      <c r="L44" s="38">
        <f t="shared" si="6"/>
        <v>23874953.229999997</v>
      </c>
      <c r="M44" s="38">
        <f t="shared" si="7"/>
        <v>150000</v>
      </c>
    </row>
    <row r="45" spans="1:13" x14ac:dyDescent="0.3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" thickBot="1" x14ac:dyDescent="0.4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71</v>
      </c>
      <c r="H46" s="39">
        <f>SUM(H38:H45)</f>
        <v>430785241.99000001</v>
      </c>
      <c r="I46" s="39">
        <f>SUM(I38:I45)</f>
        <v>63140000</v>
      </c>
      <c r="J46" s="46"/>
      <c r="K46" s="14">
        <f>G46-B46</f>
        <v>-1</v>
      </c>
      <c r="L46" s="39">
        <f>SUM(L38:L45)</f>
        <v>89678521.260000005</v>
      </c>
      <c r="M46" s="39">
        <f>SUM(M38:M45)</f>
        <v>700000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10.142857142857142</v>
      </c>
      <c r="H48" s="61">
        <f>SUM(H38:H45)/COUNT(H38:H45)</f>
        <v>61540748.855714284</v>
      </c>
      <c r="I48" s="61">
        <f>SUM(I38:I45)/COUNT(I38:I45)</f>
        <v>9020000</v>
      </c>
      <c r="J48" s="48"/>
      <c r="K48" s="62">
        <f>SUM(K38:K45)/COUNT(K38:K45)</f>
        <v>-0.14285714285714285</v>
      </c>
      <c r="L48" s="63">
        <f>SUM(L38:L45)/COUNT(L38:L45)</f>
        <v>12811217.322857143</v>
      </c>
      <c r="M48" s="63">
        <f>SUM(M38:M45)/COUNT(M38:M45)</f>
        <v>100000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H16</f>
        <v>52816907.5</v>
      </c>
      <c r="I52" s="69"/>
      <c r="J52" s="45"/>
      <c r="K52" s="68">
        <f>G52-B52</f>
        <v>4</v>
      </c>
      <c r="L52" s="69">
        <f>H52-C52</f>
        <v>38485735.159999996</v>
      </c>
      <c r="M52" s="69"/>
    </row>
    <row r="53" spans="1:13" x14ac:dyDescent="0.3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H17</f>
        <v>80465533.269999996</v>
      </c>
      <c r="I53" s="69"/>
      <c r="J53" s="45"/>
      <c r="K53" s="68">
        <f t="shared" ref="K53:L57" si="8">G53-B53</f>
        <v>0</v>
      </c>
      <c r="L53" s="69">
        <f t="shared" si="8"/>
        <v>12661493.11999999</v>
      </c>
      <c r="M53" s="69"/>
    </row>
    <row r="54" spans="1:13" x14ac:dyDescent="0.3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H18</f>
        <v>77982545.329999998</v>
      </c>
      <c r="I54" s="69"/>
      <c r="J54" s="45"/>
      <c r="K54" s="68">
        <f t="shared" si="8"/>
        <v>0</v>
      </c>
      <c r="L54" s="69">
        <f t="shared" si="8"/>
        <v>14258714.009999998</v>
      </c>
      <c r="M54" s="69"/>
    </row>
    <row r="55" spans="1:13" x14ac:dyDescent="0.3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H19</f>
        <v>76691737.170000002</v>
      </c>
      <c r="I55" s="69"/>
      <c r="J55" s="45"/>
      <c r="K55" s="68">
        <f t="shared" si="8"/>
        <v>0</v>
      </c>
      <c r="L55" s="69">
        <f t="shared" si="8"/>
        <v>13104677.010000005</v>
      </c>
      <c r="M55" s="69"/>
    </row>
    <row r="56" spans="1:13" x14ac:dyDescent="0.3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H20</f>
        <v>48353204.07</v>
      </c>
      <c r="I56" s="69"/>
      <c r="J56" s="45"/>
      <c r="K56" s="68">
        <f t="shared" si="8"/>
        <v>-3</v>
      </c>
      <c r="L56" s="69">
        <f t="shared" si="8"/>
        <v>-12561247.350000001</v>
      </c>
      <c r="M56" s="69"/>
    </row>
    <row r="57" spans="1:13" x14ac:dyDescent="0.3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8"/>
        <v>-9236562.7899999991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336309927.33999997</v>
      </c>
      <c r="I59" s="70"/>
      <c r="J59" s="46"/>
      <c r="K59" s="68">
        <f>SUM(K52:K58)</f>
        <v>1</v>
      </c>
      <c r="L59" s="70">
        <f>SUM(L52:L58)</f>
        <v>56712809.159999982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767095169.32999992</v>
      </c>
      <c r="I61" s="72"/>
      <c r="J61" s="46"/>
      <c r="K61" s="71"/>
      <c r="L61" s="72">
        <f>L59+L46</f>
        <v>146391330.41999999</v>
      </c>
      <c r="M61" s="72"/>
    </row>
    <row r="62" spans="1:13" ht="13.5" thickTop="1" x14ac:dyDescent="0.3"/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972F-14DA-4992-A324-AD60B520D769}">
  <dimension ref="A1:M62"/>
  <sheetViews>
    <sheetView workbookViewId="0">
      <selection activeCell="F16" sqref="F16:H21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6.7265625" style="35" bestFit="1" customWidth="1"/>
    <col min="7" max="7" width="5.7265625" style="35" customWidth="1"/>
    <col min="8" max="8" width="19.81640625" style="35" bestFit="1" customWidth="1"/>
    <col min="9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50">
        <f>'July 2021'!F3</f>
        <v>44380</v>
      </c>
      <c r="B3" s="49">
        <f>'July 2021'!G3</f>
        <v>9</v>
      </c>
      <c r="C3" s="51">
        <f>'July 2021'!H3</f>
        <v>61838444.049999997</v>
      </c>
      <c r="D3" s="51">
        <f>'July 2021'!I3</f>
        <v>10350000</v>
      </c>
      <c r="F3" s="10">
        <v>44744</v>
      </c>
      <c r="G3" s="90">
        <v>10</v>
      </c>
      <c r="H3" s="51">
        <v>61096131.140000001</v>
      </c>
      <c r="I3" s="51">
        <v>12400000</v>
      </c>
      <c r="J3" s="45"/>
      <c r="K3" s="49">
        <f t="shared" ref="K3:L9" si="0">G3-B3</f>
        <v>1</v>
      </c>
      <c r="L3" s="38">
        <f t="shared" si="0"/>
        <v>-742312.90999999642</v>
      </c>
      <c r="M3" s="38">
        <f>D3-I3</f>
        <v>-2050000</v>
      </c>
    </row>
    <row r="4" spans="1:13" ht="14.5" x14ac:dyDescent="0.35">
      <c r="A4" s="50">
        <f>'July 2021'!F4</f>
        <v>44382</v>
      </c>
      <c r="B4" s="49">
        <f>'July 2021'!G4</f>
        <v>9</v>
      </c>
      <c r="C4" s="51">
        <f>'July 2021'!H4</f>
        <v>45035302.840000004</v>
      </c>
      <c r="D4" s="51">
        <f>'July 2021'!I4</f>
        <v>6710000</v>
      </c>
      <c r="F4" s="10">
        <v>44751</v>
      </c>
      <c r="G4" s="93">
        <v>10</v>
      </c>
      <c r="H4" s="51">
        <v>65076635.530000001</v>
      </c>
      <c r="I4" s="51">
        <v>8170000</v>
      </c>
      <c r="J4" s="45"/>
      <c r="K4" s="49">
        <f t="shared" si="0"/>
        <v>1</v>
      </c>
      <c r="L4" s="38">
        <f t="shared" si="0"/>
        <v>20041332.689999998</v>
      </c>
      <c r="M4" s="38">
        <f t="shared" ref="M4:M9" si="1">D4-I4</f>
        <v>-1460000</v>
      </c>
    </row>
    <row r="5" spans="1:13" ht="14.5" x14ac:dyDescent="0.35">
      <c r="A5" s="50">
        <f>'July 2021'!F5</f>
        <v>44387</v>
      </c>
      <c r="B5" s="49">
        <f>'July 2021'!G5</f>
        <v>10</v>
      </c>
      <c r="C5" s="51">
        <f>'July 2021'!H5</f>
        <v>58699220</v>
      </c>
      <c r="D5" s="51">
        <f>'July 2021'!I5</f>
        <v>7480000</v>
      </c>
      <c r="F5" s="10">
        <v>44752</v>
      </c>
      <c r="G5" s="93">
        <v>9</v>
      </c>
      <c r="H5" s="51">
        <v>59457916.039999999</v>
      </c>
      <c r="I5" s="51">
        <v>6860000</v>
      </c>
      <c r="J5" s="45"/>
      <c r="K5" s="49">
        <f t="shared" si="0"/>
        <v>-1</v>
      </c>
      <c r="L5" s="38">
        <f t="shared" si="0"/>
        <v>758696.03999999911</v>
      </c>
      <c r="M5" s="38">
        <f t="shared" si="1"/>
        <v>620000</v>
      </c>
    </row>
    <row r="6" spans="1:13" ht="14.5" x14ac:dyDescent="0.35">
      <c r="A6" s="50">
        <f>'July 2021'!F6</f>
        <v>44389</v>
      </c>
      <c r="B6" s="49">
        <f>'July 2021'!G6</f>
        <v>9</v>
      </c>
      <c r="C6" s="51">
        <f>'July 2021'!H6</f>
        <v>42871174.789999999</v>
      </c>
      <c r="D6" s="51">
        <f>'July 2021'!I6</f>
        <v>6640000</v>
      </c>
      <c r="F6" s="10">
        <v>44758</v>
      </c>
      <c r="G6" s="93">
        <v>10</v>
      </c>
      <c r="H6" s="51">
        <v>58056479</v>
      </c>
      <c r="I6" s="51">
        <v>8910000</v>
      </c>
      <c r="J6" s="45"/>
      <c r="K6" s="49">
        <f t="shared" si="0"/>
        <v>1</v>
      </c>
      <c r="L6" s="38">
        <f t="shared" si="0"/>
        <v>15185304.210000001</v>
      </c>
      <c r="M6" s="38">
        <f t="shared" si="1"/>
        <v>-2270000</v>
      </c>
    </row>
    <row r="7" spans="1:13" ht="14.5" x14ac:dyDescent="0.35">
      <c r="A7" s="50">
        <f>'July 2021'!F7</f>
        <v>44394</v>
      </c>
      <c r="B7" s="49">
        <f>'July 2021'!G7</f>
        <v>10</v>
      </c>
      <c r="C7" s="51">
        <f>'July 2021'!H7</f>
        <v>59188363</v>
      </c>
      <c r="D7" s="51">
        <f>'July 2021'!I7</f>
        <v>8760000</v>
      </c>
      <c r="F7" s="10">
        <v>44759</v>
      </c>
      <c r="G7" s="93">
        <v>9</v>
      </c>
      <c r="H7" s="51">
        <v>45622631.799999997</v>
      </c>
      <c r="I7" s="51">
        <v>7250000</v>
      </c>
      <c r="J7" s="45"/>
      <c r="K7" s="49">
        <f t="shared" si="0"/>
        <v>-1</v>
      </c>
      <c r="L7" s="38">
        <f t="shared" si="0"/>
        <v>-13565731.200000003</v>
      </c>
      <c r="M7" s="38">
        <f t="shared" si="1"/>
        <v>1510000</v>
      </c>
    </row>
    <row r="8" spans="1:13" ht="14.5" x14ac:dyDescent="0.35">
      <c r="A8" s="50">
        <f>'July 2021'!F8</f>
        <v>44401</v>
      </c>
      <c r="B8" s="49">
        <f>'July 2021'!G8</f>
        <v>10</v>
      </c>
      <c r="C8" s="51">
        <f>'July 2021'!H8</f>
        <v>66507737</v>
      </c>
      <c r="D8" s="51">
        <f>'July 2021'!I8</f>
        <v>7390000</v>
      </c>
      <c r="F8" s="10">
        <v>44765</v>
      </c>
      <c r="G8" s="93">
        <v>11</v>
      </c>
      <c r="H8" s="51">
        <v>68127812.239999995</v>
      </c>
      <c r="I8" s="51">
        <v>9330000</v>
      </c>
      <c r="J8" s="45"/>
      <c r="K8" s="49">
        <f t="shared" si="0"/>
        <v>1</v>
      </c>
      <c r="L8" s="38">
        <f t="shared" si="0"/>
        <v>1620075.2399999946</v>
      </c>
      <c r="M8" s="38">
        <f t="shared" si="1"/>
        <v>-1940000</v>
      </c>
    </row>
    <row r="9" spans="1:13" ht="14.5" x14ac:dyDescent="0.35">
      <c r="A9" s="50">
        <f>'July 2021'!F9</f>
        <v>44408</v>
      </c>
      <c r="B9" s="49">
        <f>'July 2021'!G9</f>
        <v>10</v>
      </c>
      <c r="C9" s="51">
        <f>'July 2021'!H9</f>
        <v>59293946</v>
      </c>
      <c r="D9" s="51">
        <f>'July 2021'!I9</f>
        <v>8130000</v>
      </c>
      <c r="F9" s="10">
        <v>44772</v>
      </c>
      <c r="G9" s="107">
        <v>10</v>
      </c>
      <c r="H9" s="51">
        <v>67716080</v>
      </c>
      <c r="I9" s="108">
        <v>8730000</v>
      </c>
      <c r="J9" s="45"/>
      <c r="K9" s="49">
        <f t="shared" si="0"/>
        <v>0</v>
      </c>
      <c r="L9" s="38">
        <f t="shared" si="0"/>
        <v>8422134</v>
      </c>
      <c r="M9" s="38">
        <f t="shared" si="1"/>
        <v>-600000</v>
      </c>
    </row>
    <row r="10" spans="1:13" ht="14.5" x14ac:dyDescent="0.35">
      <c r="A10" s="50"/>
      <c r="B10" s="49"/>
      <c r="C10" s="51"/>
      <c r="D10" s="51"/>
      <c r="F10" s="10"/>
      <c r="G10" s="49"/>
      <c r="H10" s="51"/>
      <c r="I10" s="43"/>
      <c r="J10" s="45"/>
      <c r="K10" s="49"/>
      <c r="L10" s="38"/>
      <c r="M10" s="38"/>
    </row>
    <row r="11" spans="1:13" ht="15" thickBot="1" x14ac:dyDescent="0.4">
      <c r="A11" s="52" t="s">
        <v>66</v>
      </c>
      <c r="B11" s="52">
        <f>SUM(B3:B10)</f>
        <v>67</v>
      </c>
      <c r="C11" s="39">
        <f>SUM(C3:C10)</f>
        <v>393434187.67999995</v>
      </c>
      <c r="D11" s="54">
        <f>SUM(D3:D10)</f>
        <v>55460000</v>
      </c>
      <c r="F11" s="52" t="s">
        <v>66</v>
      </c>
      <c r="G11" s="52">
        <f>SUM(G3:G10)</f>
        <v>69</v>
      </c>
      <c r="H11" s="39">
        <f>SUM(H3:H10)</f>
        <v>425153685.75</v>
      </c>
      <c r="I11" s="39">
        <f>SUM(I3:I10)</f>
        <v>61650000</v>
      </c>
      <c r="J11" s="46"/>
      <c r="K11" s="14">
        <f>G11-B11</f>
        <v>2</v>
      </c>
      <c r="L11" s="39">
        <f>SUM(L3:L10)</f>
        <v>31719498.069999993</v>
      </c>
      <c r="M11" s="39">
        <f>SUM(M3:M10)</f>
        <v>-6190000</v>
      </c>
    </row>
    <row r="12" spans="1:13" ht="13.5" thickTop="1" x14ac:dyDescent="0.3">
      <c r="A12" s="65" t="s">
        <v>72</v>
      </c>
      <c r="B12" s="62">
        <f>SUM(B3:B10)/COUNT(B3:B10)</f>
        <v>9.5714285714285712</v>
      </c>
      <c r="C12" s="63">
        <f>SUM(C3:C10)/COUNT(C3:C10)</f>
        <v>56204883.954285704</v>
      </c>
      <c r="D12" s="63">
        <f>SUM(D3:D10)/COUNT(D3:D10)</f>
        <v>7922857.1428571427</v>
      </c>
      <c r="F12" s="59"/>
      <c r="G12" s="60">
        <f>SUM(G3:G10)/COUNT(G3:G10)</f>
        <v>9.8571428571428577</v>
      </c>
      <c r="H12" s="61">
        <f>SUM(H3:H10)/COUNT(H3:H10)</f>
        <v>60736240.821428575</v>
      </c>
      <c r="I12" s="61">
        <f>SUM(I3:I10)/COUNT(I3:I10)</f>
        <v>8807142.8571428563</v>
      </c>
      <c r="J12" s="48"/>
      <c r="K12" s="62">
        <f>SUM(K3:K10)/COUNT(K3:K10)</f>
        <v>0.2857142857142857</v>
      </c>
      <c r="L12" s="63">
        <f>SUM(L3:L10)/COUNT(L3:L10)</f>
        <v>4531356.8671428561</v>
      </c>
      <c r="M12" s="63">
        <f>SUM(M3:M10)/COUNT(M3:M10)</f>
        <v>-884285.71428571432</v>
      </c>
    </row>
    <row r="13" spans="1:13" x14ac:dyDescent="0.3">
      <c r="H13" s="78">
        <f>H11/G11</f>
        <v>6161647.6195652178</v>
      </c>
    </row>
    <row r="14" spans="1:13" x14ac:dyDescent="0.3">
      <c r="A14" s="34" t="s">
        <v>71</v>
      </c>
    </row>
    <row r="15" spans="1:13" ht="29.5" thickBot="1" x14ac:dyDescent="0.4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4.5" x14ac:dyDescent="0.35">
      <c r="A16" s="73">
        <f>'July 2021'!F21</f>
        <v>44380</v>
      </c>
      <c r="B16" s="68">
        <f>'July 2021'!G21</f>
        <v>3</v>
      </c>
      <c r="C16" s="74">
        <f>'July 2021'!H21</f>
        <v>36166638.450000003</v>
      </c>
      <c r="D16" s="74">
        <f>C16/B16</f>
        <v>12055546.15</v>
      </c>
      <c r="F16" s="10">
        <v>44744</v>
      </c>
      <c r="G16" s="68">
        <v>2</v>
      </c>
      <c r="H16" s="114">
        <v>33152249.620000001</v>
      </c>
      <c r="I16" s="69">
        <f>H16/G16</f>
        <v>16576124.810000001</v>
      </c>
      <c r="J16" s="45"/>
      <c r="K16" s="68">
        <f t="shared" ref="K16:L21" si="2">G16-B16</f>
        <v>-1</v>
      </c>
      <c r="L16" s="69">
        <f>H16-C16</f>
        <v>-3014388.8300000019</v>
      </c>
      <c r="M16" s="69"/>
    </row>
    <row r="17" spans="1:13" ht="14.5" x14ac:dyDescent="0.35">
      <c r="A17" s="73">
        <f>'July 2021'!F22</f>
        <v>44387</v>
      </c>
      <c r="B17" s="68">
        <f>'July 2021'!G22</f>
        <v>7</v>
      </c>
      <c r="C17" s="74">
        <f>'July 2021'!H22</f>
        <v>66814505.469999999</v>
      </c>
      <c r="D17" s="74">
        <f t="shared" ref="D17:D20" si="3">C17/B17</f>
        <v>9544929.3528571427</v>
      </c>
      <c r="F17" s="10">
        <v>44751</v>
      </c>
      <c r="G17" s="68">
        <v>7</v>
      </c>
      <c r="H17" s="74">
        <v>81415743.909999996</v>
      </c>
      <c r="I17" s="69">
        <f t="shared" ref="I17:I21" si="4">H17/G17</f>
        <v>11630820.558571428</v>
      </c>
      <c r="J17" s="45"/>
      <c r="K17" s="68">
        <f t="shared" si="2"/>
        <v>0</v>
      </c>
      <c r="L17" s="69">
        <f>H17-C17</f>
        <v>14601238.439999998</v>
      </c>
      <c r="M17" s="69"/>
    </row>
    <row r="18" spans="1:13" ht="14.5" x14ac:dyDescent="0.35">
      <c r="A18" s="73">
        <f>'July 2021'!F23</f>
        <v>44394</v>
      </c>
      <c r="B18" s="68">
        <f>'July 2021'!G23</f>
        <v>7</v>
      </c>
      <c r="C18" s="74">
        <f>'July 2021'!H23</f>
        <v>70708567.340000004</v>
      </c>
      <c r="D18" s="74">
        <f t="shared" si="3"/>
        <v>10101223.905714286</v>
      </c>
      <c r="F18" s="10">
        <v>44758</v>
      </c>
      <c r="G18" s="68">
        <v>7</v>
      </c>
      <c r="H18" s="74">
        <v>78058119.599999994</v>
      </c>
      <c r="I18" s="69">
        <f t="shared" si="4"/>
        <v>11151159.942857143</v>
      </c>
      <c r="J18" s="45"/>
      <c r="K18" s="68">
        <f t="shared" si="2"/>
        <v>0</v>
      </c>
      <c r="L18" s="69">
        <f>H18-C18</f>
        <v>7349552.2599999905</v>
      </c>
      <c r="M18" s="69"/>
    </row>
    <row r="19" spans="1:13" ht="14.5" x14ac:dyDescent="0.35">
      <c r="A19" s="73">
        <f>'July 2021'!F24</f>
        <v>44401</v>
      </c>
      <c r="B19" s="68">
        <f>'July 2021'!G24</f>
        <v>7</v>
      </c>
      <c r="C19" s="74">
        <f>'July 2021'!H24</f>
        <v>70842477.469999999</v>
      </c>
      <c r="D19" s="74">
        <f t="shared" si="3"/>
        <v>10120353.924285714</v>
      </c>
      <c r="F19" s="10">
        <v>44765</v>
      </c>
      <c r="G19" s="68">
        <v>7</v>
      </c>
      <c r="H19" s="114">
        <v>85231081.25</v>
      </c>
      <c r="I19" s="69">
        <f t="shared" si="4"/>
        <v>12175868.75</v>
      </c>
      <c r="J19" s="45"/>
      <c r="K19" s="68">
        <f t="shared" si="2"/>
        <v>0</v>
      </c>
      <c r="L19" s="69">
        <f t="shared" si="2"/>
        <v>14388603.780000001</v>
      </c>
      <c r="M19" s="69"/>
    </row>
    <row r="20" spans="1:13" ht="14.5" x14ac:dyDescent="0.35">
      <c r="A20" s="73">
        <f>'July 2021'!F25</f>
        <v>44408</v>
      </c>
      <c r="B20" s="68">
        <f>'July 2021'!G25</f>
        <v>7</v>
      </c>
      <c r="C20" s="74">
        <f>'July 2021'!H25</f>
        <v>67219933.239999995</v>
      </c>
      <c r="D20" s="74">
        <f t="shared" si="3"/>
        <v>9602847.6057142857</v>
      </c>
      <c r="F20" s="10">
        <v>44772</v>
      </c>
      <c r="G20" s="68">
        <v>7</v>
      </c>
      <c r="H20" s="113">
        <v>86728141.079999998</v>
      </c>
      <c r="I20" s="69">
        <f t="shared" si="4"/>
        <v>12389734.439999999</v>
      </c>
      <c r="J20" s="45"/>
      <c r="K20" s="68">
        <f t="shared" si="2"/>
        <v>0</v>
      </c>
      <c r="L20" s="69">
        <f t="shared" si="2"/>
        <v>19508207.840000004</v>
      </c>
      <c r="M20" s="69"/>
    </row>
    <row r="21" spans="1:13" ht="14.5" x14ac:dyDescent="0.35">
      <c r="A21" s="73"/>
      <c r="B21" s="68"/>
      <c r="C21" s="74"/>
      <c r="D21" s="74"/>
      <c r="F21" s="10">
        <v>44773</v>
      </c>
      <c r="G21" s="68">
        <v>1</v>
      </c>
      <c r="H21" s="113">
        <v>17537316.739999998</v>
      </c>
      <c r="I21" s="69">
        <f t="shared" si="4"/>
        <v>17537316.739999998</v>
      </c>
      <c r="J21" s="45"/>
      <c r="K21" s="68">
        <f t="shared" si="2"/>
        <v>1</v>
      </c>
      <c r="L21" s="69">
        <f t="shared" si="2"/>
        <v>17537316.739999998</v>
      </c>
      <c r="M21" s="69"/>
    </row>
    <row r="22" spans="1:13" ht="14.5" hidden="1" x14ac:dyDescent="0.3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35">
      <c r="A23" s="75" t="s">
        <v>66</v>
      </c>
      <c r="B23" s="75">
        <f>SUM(B16:B21)</f>
        <v>31</v>
      </c>
      <c r="C23" s="88">
        <f>SUM(C16:C21)</f>
        <v>311752121.96999997</v>
      </c>
      <c r="D23" s="88">
        <f>C23/B23</f>
        <v>10056520.063548386</v>
      </c>
      <c r="F23" s="75" t="s">
        <v>66</v>
      </c>
      <c r="G23" s="75">
        <f>SUM(G16:G22)</f>
        <v>31</v>
      </c>
      <c r="H23" s="70">
        <f>SUM(H16:H21)</f>
        <v>382122652.19999999</v>
      </c>
      <c r="I23" s="70">
        <f>H23/G23</f>
        <v>12326537.167741936</v>
      </c>
      <c r="J23" s="46"/>
      <c r="K23" s="68">
        <f>SUM(K16:K22)</f>
        <v>0</v>
      </c>
      <c r="L23" s="70">
        <f>SUM(L16:L22)</f>
        <v>70370530.229999989</v>
      </c>
      <c r="M23" s="70"/>
    </row>
    <row r="24" spans="1:13" ht="13.5" thickTop="1" x14ac:dyDescent="0.3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35">
      <c r="A25" s="71" t="s">
        <v>67</v>
      </c>
      <c r="B25" s="71"/>
      <c r="C25" s="72">
        <f>C11+C23</f>
        <v>705186309.64999986</v>
      </c>
      <c r="D25" s="72"/>
      <c r="E25" s="41"/>
      <c r="F25" s="71" t="s">
        <v>67</v>
      </c>
      <c r="G25" s="71"/>
      <c r="H25" s="72">
        <f>H11+H23</f>
        <v>807276337.95000005</v>
      </c>
      <c r="I25" s="72"/>
      <c r="J25" s="46"/>
      <c r="K25" s="71"/>
      <c r="L25" s="72">
        <f>L23+L11</f>
        <v>102090028.29999998</v>
      </c>
      <c r="M25" s="72"/>
    </row>
    <row r="26" spans="1:13" ht="13.5" thickTop="1" x14ac:dyDescent="0.3"/>
    <row r="28" spans="1:13" x14ac:dyDescent="0.3">
      <c r="C28" s="78"/>
    </row>
    <row r="32" spans="1:13" x14ac:dyDescent="0.3">
      <c r="C32" s="78"/>
    </row>
    <row r="33" spans="1:13" x14ac:dyDescent="0.3">
      <c r="H33" s="78"/>
      <c r="I33" s="78"/>
    </row>
    <row r="34" spans="1:13" x14ac:dyDescent="0.3">
      <c r="H34" s="78"/>
    </row>
    <row r="35" spans="1:13" x14ac:dyDescent="0.3">
      <c r="H35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5">F3</f>
        <v>44744</v>
      </c>
      <c r="G38" s="49">
        <f t="shared" si="5"/>
        <v>10</v>
      </c>
      <c r="H38" s="51">
        <f t="shared" si="5"/>
        <v>61096131.140000001</v>
      </c>
      <c r="I38" s="51">
        <f t="shared" si="5"/>
        <v>12400000</v>
      </c>
      <c r="J38" s="45"/>
      <c r="K38" s="49">
        <f t="shared" ref="K38:L44" si="6">G38-B38</f>
        <v>0</v>
      </c>
      <c r="L38" s="38">
        <f t="shared" si="6"/>
        <v>11988649.039999999</v>
      </c>
      <c r="M38" s="38">
        <f>D38-I38</f>
        <v>-4700000</v>
      </c>
    </row>
    <row r="39" spans="1:13" x14ac:dyDescent="0.3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5"/>
        <v>44751</v>
      </c>
      <c r="G39" s="49">
        <f t="shared" si="5"/>
        <v>10</v>
      </c>
      <c r="H39" s="51">
        <f t="shared" si="5"/>
        <v>65076635.530000001</v>
      </c>
      <c r="I39" s="51">
        <f t="shared" si="5"/>
        <v>8170000</v>
      </c>
      <c r="J39" s="45"/>
      <c r="K39" s="49">
        <f t="shared" si="6"/>
        <v>0</v>
      </c>
      <c r="L39" s="38">
        <f t="shared" si="6"/>
        <v>22560929.310000002</v>
      </c>
      <c r="M39" s="38">
        <f t="shared" ref="M39:M44" si="7">D39-I39</f>
        <v>-360000</v>
      </c>
    </row>
    <row r="40" spans="1:13" x14ac:dyDescent="0.3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5"/>
        <v>44752</v>
      </c>
      <c r="G40" s="49">
        <f t="shared" si="5"/>
        <v>9</v>
      </c>
      <c r="H40" s="51">
        <f t="shared" si="5"/>
        <v>59457916.039999999</v>
      </c>
      <c r="I40" s="51">
        <f t="shared" si="5"/>
        <v>6860000</v>
      </c>
      <c r="J40" s="45"/>
      <c r="K40" s="49">
        <f t="shared" si="6"/>
        <v>-1</v>
      </c>
      <c r="L40" s="38">
        <f t="shared" si="6"/>
        <v>14209911.399999999</v>
      </c>
      <c r="M40" s="38">
        <f t="shared" si="7"/>
        <v>470000</v>
      </c>
    </row>
    <row r="41" spans="1:13" x14ac:dyDescent="0.3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5"/>
        <v>44758</v>
      </c>
      <c r="G41" s="49">
        <f t="shared" si="5"/>
        <v>10</v>
      </c>
      <c r="H41" s="51">
        <v>45515620.520000003</v>
      </c>
      <c r="I41" s="51">
        <f>I6</f>
        <v>8910000</v>
      </c>
      <c r="J41" s="45"/>
      <c r="K41" s="49">
        <f t="shared" si="6"/>
        <v>0</v>
      </c>
      <c r="L41" s="38">
        <f t="shared" si="6"/>
        <v>-2959758.049999997</v>
      </c>
      <c r="M41" s="38">
        <f t="shared" si="7"/>
        <v>-1230000</v>
      </c>
    </row>
    <row r="42" spans="1:13" x14ac:dyDescent="0.3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5"/>
        <v>44759</v>
      </c>
      <c r="G42" s="49">
        <f t="shared" si="5"/>
        <v>9</v>
      </c>
      <c r="H42" s="51">
        <f>H7</f>
        <v>45622631.799999997</v>
      </c>
      <c r="I42" s="51">
        <f>I7</f>
        <v>7250000</v>
      </c>
      <c r="J42" s="45"/>
      <c r="K42" s="49">
        <f t="shared" si="6"/>
        <v>-1</v>
      </c>
      <c r="L42" s="38">
        <f t="shared" si="6"/>
        <v>-4625174.5900000036</v>
      </c>
      <c r="M42" s="38">
        <f t="shared" si="7"/>
        <v>-10000</v>
      </c>
    </row>
    <row r="43" spans="1:13" x14ac:dyDescent="0.3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5"/>
        <v>44765</v>
      </c>
      <c r="G43" s="49">
        <f t="shared" si="5"/>
        <v>11</v>
      </c>
      <c r="H43" s="51">
        <f>H8</f>
        <v>68127812.239999995</v>
      </c>
      <c r="I43" s="51">
        <f>I8</f>
        <v>9330000</v>
      </c>
      <c r="J43" s="45"/>
      <c r="K43" s="49">
        <f t="shared" si="6"/>
        <v>-1</v>
      </c>
      <c r="L43" s="38">
        <f t="shared" si="6"/>
        <v>5394786.1999999955</v>
      </c>
      <c r="M43" s="38">
        <f t="shared" si="7"/>
        <v>8620000</v>
      </c>
    </row>
    <row r="44" spans="1:13" x14ac:dyDescent="0.3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5"/>
        <v>44772</v>
      </c>
      <c r="G44" s="49">
        <f t="shared" si="5"/>
        <v>10</v>
      </c>
      <c r="H44" s="51">
        <f>H9</f>
        <v>67716080</v>
      </c>
      <c r="I44" s="51">
        <f>I9</f>
        <v>8730000</v>
      </c>
      <c r="J44" s="45"/>
      <c r="K44" s="49">
        <f t="shared" si="6"/>
        <v>0</v>
      </c>
      <c r="L44" s="38">
        <f t="shared" si="6"/>
        <v>24936763.229999997</v>
      </c>
      <c r="M44" s="38">
        <f t="shared" si="7"/>
        <v>-600000</v>
      </c>
    </row>
    <row r="45" spans="1:13" x14ac:dyDescent="0.3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" thickBot="1" x14ac:dyDescent="0.4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69</v>
      </c>
      <c r="H46" s="39">
        <f>SUM(H38:H45)</f>
        <v>412612827.27000004</v>
      </c>
      <c r="I46" s="39">
        <f>SUM(I38:I45)</f>
        <v>61650000</v>
      </c>
      <c r="J46" s="46"/>
      <c r="K46" s="14">
        <f>G46-B46</f>
        <v>-3</v>
      </c>
      <c r="L46" s="39">
        <f>SUM(L38:L45)</f>
        <v>71506106.539999992</v>
      </c>
      <c r="M46" s="39">
        <f>SUM(M38:M45)</f>
        <v>2190000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9.8571428571428577</v>
      </c>
      <c r="H48" s="61">
        <f>SUM(H38:H45)/COUNT(H38:H45)</f>
        <v>58944689.610000007</v>
      </c>
      <c r="I48" s="61">
        <f>SUM(I38:I45)/COUNT(I38:I45)</f>
        <v>8807142.8571428563</v>
      </c>
      <c r="J48" s="48"/>
      <c r="K48" s="62">
        <f>SUM(K38:K45)/COUNT(K38:K45)</f>
        <v>-0.42857142857142855</v>
      </c>
      <c r="L48" s="63">
        <f>SUM(L38:L45)/COUNT(L38:L45)</f>
        <v>10215158.077142855</v>
      </c>
      <c r="M48" s="63">
        <f>SUM(M38:M45)/COUNT(M38:M45)</f>
        <v>312857.14285714284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H16</f>
        <v>33152249.620000001</v>
      </c>
      <c r="I52" s="69"/>
      <c r="J52" s="45"/>
      <c r="K52" s="68">
        <f>G52-B52</f>
        <v>4</v>
      </c>
      <c r="L52" s="69">
        <f>H52-C52</f>
        <v>18821077.280000001</v>
      </c>
      <c r="M52" s="69"/>
    </row>
    <row r="53" spans="1:13" x14ac:dyDescent="0.3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H17</f>
        <v>81415743.909999996</v>
      </c>
      <c r="I53" s="69"/>
      <c r="J53" s="45"/>
      <c r="K53" s="68">
        <f t="shared" ref="K53:L57" si="8">G53-B53</f>
        <v>0</v>
      </c>
      <c r="L53" s="69">
        <f t="shared" si="8"/>
        <v>13611703.75999999</v>
      </c>
      <c r="M53" s="69"/>
    </row>
    <row r="54" spans="1:13" x14ac:dyDescent="0.3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H18</f>
        <v>78058119.599999994</v>
      </c>
      <c r="I54" s="69"/>
      <c r="J54" s="45"/>
      <c r="K54" s="68">
        <f t="shared" si="8"/>
        <v>0</v>
      </c>
      <c r="L54" s="69">
        <f t="shared" si="8"/>
        <v>14334288.279999994</v>
      </c>
      <c r="M54" s="69"/>
    </row>
    <row r="55" spans="1:13" x14ac:dyDescent="0.3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H19</f>
        <v>85231081.25</v>
      </c>
      <c r="I55" s="69"/>
      <c r="J55" s="45"/>
      <c r="K55" s="68">
        <f t="shared" si="8"/>
        <v>0</v>
      </c>
      <c r="L55" s="69">
        <f t="shared" si="8"/>
        <v>21644021.090000004</v>
      </c>
      <c r="M55" s="69"/>
    </row>
    <row r="56" spans="1:13" x14ac:dyDescent="0.3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H20</f>
        <v>86728141.079999998</v>
      </c>
      <c r="I56" s="69"/>
      <c r="J56" s="45"/>
      <c r="K56" s="68">
        <f t="shared" si="8"/>
        <v>-3</v>
      </c>
      <c r="L56" s="69">
        <f t="shared" si="8"/>
        <v>25813689.659999996</v>
      </c>
      <c r="M56" s="69"/>
    </row>
    <row r="57" spans="1:13" x14ac:dyDescent="0.3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8"/>
        <v>-9236562.7899999991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364585335.45999998</v>
      </c>
      <c r="I59" s="70"/>
      <c r="J59" s="46"/>
      <c r="K59" s="68">
        <f>SUM(K52:K58)</f>
        <v>1</v>
      </c>
      <c r="L59" s="70">
        <f>SUM(L52:L58)</f>
        <v>84988217.280000001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777198162.73000002</v>
      </c>
      <c r="I61" s="72"/>
      <c r="J61" s="46"/>
      <c r="K61" s="71"/>
      <c r="L61" s="72">
        <f>L59+L46</f>
        <v>156494323.81999999</v>
      </c>
      <c r="M61" s="72"/>
    </row>
    <row r="62" spans="1:13" ht="13.5" thickTop="1" x14ac:dyDescent="0.3"/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BB18-DF0F-42C8-8371-AFC76D105CFC}">
  <dimension ref="A1:M62"/>
  <sheetViews>
    <sheetView topLeftCell="A39" workbookViewId="0">
      <selection activeCell="F52" sqref="F52:H56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6.7265625" style="35" bestFit="1" customWidth="1"/>
    <col min="7" max="7" width="5.7265625" style="35" customWidth="1"/>
    <col min="8" max="8" width="19.81640625" style="35" bestFit="1" customWidth="1"/>
    <col min="9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50">
        <v>44411</v>
      </c>
      <c r="B3" s="49">
        <v>9</v>
      </c>
      <c r="C3" s="51">
        <v>51200000</v>
      </c>
      <c r="D3" s="51">
        <v>8350000</v>
      </c>
      <c r="F3" s="10">
        <v>44774</v>
      </c>
      <c r="G3" s="90">
        <v>10</v>
      </c>
      <c r="H3" s="51">
        <v>58938247</v>
      </c>
      <c r="I3" s="51">
        <v>9060000</v>
      </c>
      <c r="J3" s="45"/>
      <c r="K3" s="49">
        <f t="shared" ref="K3:L9" si="0">G3-B3</f>
        <v>1</v>
      </c>
      <c r="L3" s="38">
        <f t="shared" si="0"/>
        <v>7738247</v>
      </c>
      <c r="M3" s="38">
        <f>D3-I3</f>
        <v>-710000</v>
      </c>
    </row>
    <row r="4" spans="1:13" ht="14.5" x14ac:dyDescent="0.35">
      <c r="A4" s="50">
        <v>44415</v>
      </c>
      <c r="B4" s="49">
        <v>11</v>
      </c>
      <c r="C4" s="51">
        <v>66097339</v>
      </c>
      <c r="D4" s="51">
        <v>19870000</v>
      </c>
      <c r="F4" s="10">
        <v>44779</v>
      </c>
      <c r="G4" s="93">
        <v>10</v>
      </c>
      <c r="H4" s="51">
        <v>69844531</v>
      </c>
      <c r="I4" s="51">
        <v>15040000</v>
      </c>
      <c r="J4" s="45"/>
      <c r="K4" s="49">
        <f t="shared" si="0"/>
        <v>-1</v>
      </c>
      <c r="L4" s="38">
        <f t="shared" si="0"/>
        <v>3747192</v>
      </c>
      <c r="M4" s="38">
        <f t="shared" ref="M4:M9" si="1">D4-I4</f>
        <v>4830000</v>
      </c>
    </row>
    <row r="5" spans="1:13" ht="14.5" x14ac:dyDescent="0.35">
      <c r="A5" s="50">
        <v>44417</v>
      </c>
      <c r="B5" s="49">
        <v>10</v>
      </c>
      <c r="C5" s="51">
        <v>50177567.509999998</v>
      </c>
      <c r="D5" s="51">
        <v>7290000</v>
      </c>
      <c r="F5" s="10">
        <v>44780</v>
      </c>
      <c r="G5" s="93">
        <v>9</v>
      </c>
      <c r="H5" s="51">
        <v>49799443.789999999</v>
      </c>
      <c r="I5" s="51">
        <v>10180000</v>
      </c>
      <c r="J5" s="45"/>
      <c r="K5" s="49">
        <f t="shared" si="0"/>
        <v>-1</v>
      </c>
      <c r="L5" s="38">
        <f t="shared" si="0"/>
        <v>-378123.71999999881</v>
      </c>
      <c r="M5" s="38">
        <f t="shared" si="1"/>
        <v>-2890000</v>
      </c>
    </row>
    <row r="6" spans="1:13" ht="14.5" x14ac:dyDescent="0.35">
      <c r="A6" s="50">
        <v>44422</v>
      </c>
      <c r="B6" s="49">
        <v>9</v>
      </c>
      <c r="C6" s="51">
        <v>48775782.240000002</v>
      </c>
      <c r="D6" s="51">
        <v>7360000</v>
      </c>
      <c r="F6" s="10">
        <v>44786</v>
      </c>
      <c r="G6" s="93">
        <v>10</v>
      </c>
      <c r="H6" s="51">
        <v>59800000</v>
      </c>
      <c r="I6" s="51">
        <v>8400000</v>
      </c>
      <c r="J6" s="45"/>
      <c r="K6" s="49">
        <f t="shared" si="0"/>
        <v>1</v>
      </c>
      <c r="L6" s="38">
        <f t="shared" si="0"/>
        <v>11024217.759999998</v>
      </c>
      <c r="M6" s="38">
        <f t="shared" si="1"/>
        <v>-1040000</v>
      </c>
    </row>
    <row r="7" spans="1:13" ht="14.5" x14ac:dyDescent="0.35">
      <c r="A7" s="50">
        <v>44429</v>
      </c>
      <c r="B7" s="49">
        <v>10</v>
      </c>
      <c r="C7" s="51">
        <v>58811054.969999999</v>
      </c>
      <c r="D7" s="51">
        <v>7440000</v>
      </c>
      <c r="F7" s="10">
        <v>44793</v>
      </c>
      <c r="G7" s="93">
        <v>10</v>
      </c>
      <c r="H7" s="51"/>
      <c r="I7" s="51"/>
      <c r="J7" s="45"/>
      <c r="K7" s="49">
        <f t="shared" si="0"/>
        <v>0</v>
      </c>
      <c r="L7" s="38">
        <f t="shared" si="0"/>
        <v>-58811054.969999999</v>
      </c>
      <c r="M7" s="38">
        <f t="shared" si="1"/>
        <v>7440000</v>
      </c>
    </row>
    <row r="8" spans="1:13" ht="14.5" x14ac:dyDescent="0.35">
      <c r="A8" s="50">
        <v>44433</v>
      </c>
      <c r="B8" s="49">
        <v>9</v>
      </c>
      <c r="C8" s="51">
        <v>46169429.229999997</v>
      </c>
      <c r="D8" s="51">
        <v>6650000</v>
      </c>
      <c r="F8" s="10">
        <v>44794</v>
      </c>
      <c r="G8" s="93">
        <v>9</v>
      </c>
      <c r="H8" s="51"/>
      <c r="I8" s="51"/>
      <c r="J8" s="45"/>
      <c r="K8" s="49">
        <f t="shared" si="0"/>
        <v>0</v>
      </c>
      <c r="L8" s="38">
        <f t="shared" si="0"/>
        <v>-46169429.229999997</v>
      </c>
      <c r="M8" s="38">
        <f t="shared" si="1"/>
        <v>6650000</v>
      </c>
    </row>
    <row r="9" spans="1:13" ht="14.5" x14ac:dyDescent="0.35">
      <c r="A9" s="50">
        <v>44436</v>
      </c>
      <c r="B9" s="49">
        <v>11</v>
      </c>
      <c r="C9" s="51">
        <v>58640383.229999997</v>
      </c>
      <c r="D9" s="51">
        <v>8980000</v>
      </c>
      <c r="F9" s="10">
        <v>44800</v>
      </c>
      <c r="G9" s="107">
        <v>10</v>
      </c>
      <c r="H9" s="51"/>
      <c r="I9" s="108"/>
      <c r="J9" s="45"/>
      <c r="K9" s="49">
        <f t="shared" si="0"/>
        <v>-1</v>
      </c>
      <c r="L9" s="38">
        <f t="shared" si="0"/>
        <v>-58640383.229999997</v>
      </c>
      <c r="M9" s="38">
        <f t="shared" si="1"/>
        <v>8980000</v>
      </c>
    </row>
    <row r="10" spans="1:13" ht="14.5" x14ac:dyDescent="0.35">
      <c r="A10" s="50"/>
      <c r="B10" s="49"/>
      <c r="C10" s="51"/>
      <c r="D10" s="51"/>
      <c r="F10" s="10">
        <v>44801</v>
      </c>
      <c r="G10" s="49">
        <v>10</v>
      </c>
      <c r="H10" s="51"/>
      <c r="I10" s="43"/>
      <c r="J10" s="45"/>
      <c r="K10" s="49"/>
      <c r="L10" s="38"/>
      <c r="M10" s="38"/>
    </row>
    <row r="11" spans="1:13" ht="15" thickBot="1" x14ac:dyDescent="0.4">
      <c r="A11" s="52" t="s">
        <v>66</v>
      </c>
      <c r="B11" s="52">
        <f>SUM(B3:B10)</f>
        <v>69</v>
      </c>
      <c r="C11" s="39">
        <f>SUM(C3:C10)</f>
        <v>379871556.18000007</v>
      </c>
      <c r="D11" s="54">
        <f>SUM(D3:D10)</f>
        <v>65940000</v>
      </c>
      <c r="F11" s="52" t="s">
        <v>66</v>
      </c>
      <c r="G11" s="52">
        <f>SUM(G3:G10)</f>
        <v>78</v>
      </c>
      <c r="H11" s="39">
        <f>SUM(H3:H10)</f>
        <v>238382221.78999999</v>
      </c>
      <c r="I11" s="39">
        <f>SUM(I3:I10)</f>
        <v>42680000</v>
      </c>
      <c r="J11" s="46"/>
      <c r="K11" s="14">
        <f>G11-B11</f>
        <v>9</v>
      </c>
      <c r="L11" s="39">
        <f>SUM(L3:L10)</f>
        <v>-141489334.38999999</v>
      </c>
      <c r="M11" s="39">
        <f>SUM(M3:M10)</f>
        <v>23260000</v>
      </c>
    </row>
    <row r="12" spans="1:13" ht="13.5" thickTop="1" x14ac:dyDescent="0.3">
      <c r="A12" s="65" t="s">
        <v>72</v>
      </c>
      <c r="B12" s="62">
        <f>SUM(B3:B10)/COUNT(B3:B10)</f>
        <v>9.8571428571428577</v>
      </c>
      <c r="C12" s="63">
        <f>SUM(C3:C10)/COUNT(C3:C10)</f>
        <v>54267365.168571435</v>
      </c>
      <c r="D12" s="63">
        <f>SUM(D3:D10)/COUNT(D3:D10)</f>
        <v>9420000</v>
      </c>
      <c r="F12" s="59"/>
      <c r="G12" s="60">
        <f>SUM(G3:G10)/COUNT(G3:G10)</f>
        <v>9.75</v>
      </c>
      <c r="H12" s="61">
        <f>SUM(H3:H10)/COUNT(H3:H10)</f>
        <v>59595555.447499998</v>
      </c>
      <c r="I12" s="61">
        <f>SUM(I3:I10)/COUNT(I3:I10)</f>
        <v>10670000</v>
      </c>
      <c r="J12" s="48"/>
      <c r="K12" s="62">
        <f>SUM(K3:K10)/COUNT(K3:K10)</f>
        <v>-0.14285714285714285</v>
      </c>
      <c r="L12" s="63">
        <f>SUM(L3:L10)/COUNT(L3:L10)</f>
        <v>-20212762.055714283</v>
      </c>
      <c r="M12" s="63">
        <f>SUM(M3:M10)/COUNT(M3:M10)</f>
        <v>3322857.1428571427</v>
      </c>
    </row>
    <row r="13" spans="1:13" x14ac:dyDescent="0.3">
      <c r="H13" s="78">
        <f>H11/G11</f>
        <v>3056182.3306410257</v>
      </c>
    </row>
    <row r="14" spans="1:13" x14ac:dyDescent="0.3">
      <c r="A14" s="34" t="s">
        <v>71</v>
      </c>
    </row>
    <row r="15" spans="1:13" ht="29.5" thickBot="1" x14ac:dyDescent="0.4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4.5" x14ac:dyDescent="0.35">
      <c r="A16" s="73">
        <v>44415</v>
      </c>
      <c r="B16" s="68">
        <v>7</v>
      </c>
      <c r="C16" s="74">
        <f>34866347.14+15734111.79</f>
        <v>50600458.93</v>
      </c>
      <c r="D16" s="74">
        <f>C16/B16</f>
        <v>7228636.9900000002</v>
      </c>
      <c r="F16" s="10">
        <v>44779</v>
      </c>
      <c r="G16" s="68">
        <v>6</v>
      </c>
      <c r="H16" s="106">
        <v>80623124.180000007</v>
      </c>
      <c r="I16" s="69">
        <f>H16/G16</f>
        <v>13437187.363333335</v>
      </c>
      <c r="J16" s="45"/>
      <c r="K16" s="68">
        <f t="shared" ref="K16:L20" si="2">G16-B16</f>
        <v>-1</v>
      </c>
      <c r="L16" s="69">
        <f>H16-C16</f>
        <v>30022665.250000007</v>
      </c>
      <c r="M16" s="69"/>
    </row>
    <row r="17" spans="1:13" ht="14.5" x14ac:dyDescent="0.35">
      <c r="A17" s="73">
        <v>44422</v>
      </c>
      <c r="B17" s="68">
        <v>7</v>
      </c>
      <c r="C17" s="74">
        <v>44925240.229999997</v>
      </c>
      <c r="D17" s="74">
        <f t="shared" ref="D17:D19" si="3">C17/B17</f>
        <v>6417891.4614285706</v>
      </c>
      <c r="F17" s="10">
        <v>44786</v>
      </c>
      <c r="G17" s="68">
        <v>7</v>
      </c>
      <c r="H17" s="74">
        <f>59521567.98+19500000</f>
        <v>79021567.979999989</v>
      </c>
      <c r="I17" s="69">
        <f t="shared" ref="I17:I20" si="4">H17/G17</f>
        <v>11288795.425714284</v>
      </c>
      <c r="J17" s="45"/>
      <c r="K17" s="68">
        <f t="shared" si="2"/>
        <v>0</v>
      </c>
      <c r="L17" s="69">
        <f>H17-C17</f>
        <v>34096327.749999993</v>
      </c>
      <c r="M17" s="69"/>
    </row>
    <row r="18" spans="1:13" ht="14.5" x14ac:dyDescent="0.35">
      <c r="A18" s="73">
        <v>44429</v>
      </c>
      <c r="B18" s="68">
        <v>7</v>
      </c>
      <c r="C18" s="74">
        <f>21475445.14+13556804.74</f>
        <v>35032249.880000003</v>
      </c>
      <c r="D18" s="74">
        <f t="shared" si="3"/>
        <v>5004607.1257142862</v>
      </c>
      <c r="F18" s="10">
        <v>44793</v>
      </c>
      <c r="G18" s="68">
        <v>7</v>
      </c>
      <c r="H18" s="74">
        <f>13909750+8253284+5113812+9806320+12775321</f>
        <v>49858487</v>
      </c>
      <c r="I18" s="69">
        <f t="shared" si="4"/>
        <v>7122641</v>
      </c>
      <c r="J18" s="45"/>
      <c r="K18" s="68">
        <f t="shared" si="2"/>
        <v>0</v>
      </c>
      <c r="L18" s="69">
        <f>H18-C18</f>
        <v>14826237.119999997</v>
      </c>
      <c r="M18" s="69"/>
    </row>
    <row r="19" spans="1:13" ht="14.5" x14ac:dyDescent="0.35">
      <c r="A19" s="73">
        <v>44436</v>
      </c>
      <c r="B19" s="68">
        <v>4</v>
      </c>
      <c r="C19" s="74">
        <f>13011350.62+15018070.7</f>
        <v>28029421.32</v>
      </c>
      <c r="D19" s="74">
        <f t="shared" si="3"/>
        <v>7007355.3300000001</v>
      </c>
      <c r="F19" s="10">
        <v>44800</v>
      </c>
      <c r="G19" s="68">
        <v>7</v>
      </c>
      <c r="H19" s="74"/>
      <c r="I19" s="69">
        <f t="shared" si="4"/>
        <v>0</v>
      </c>
      <c r="J19" s="45"/>
      <c r="K19" s="68">
        <f t="shared" si="2"/>
        <v>3</v>
      </c>
      <c r="L19" s="69">
        <f t="shared" si="2"/>
        <v>-28029421.32</v>
      </c>
      <c r="M19" s="69"/>
    </row>
    <row r="20" spans="1:13" ht="14.5" x14ac:dyDescent="0.35">
      <c r="A20" s="73">
        <v>44439</v>
      </c>
      <c r="B20" s="68">
        <v>0</v>
      </c>
      <c r="C20" s="74">
        <v>0</v>
      </c>
      <c r="D20" s="74"/>
      <c r="F20" s="10">
        <v>44804</v>
      </c>
      <c r="G20" s="68">
        <v>4</v>
      </c>
      <c r="H20" s="74"/>
      <c r="I20" s="69">
        <f t="shared" si="4"/>
        <v>0</v>
      </c>
      <c r="J20" s="45"/>
      <c r="K20" s="68">
        <f t="shared" si="2"/>
        <v>4</v>
      </c>
      <c r="L20" s="69">
        <f t="shared" si="2"/>
        <v>0</v>
      </c>
      <c r="M20" s="69"/>
    </row>
    <row r="21" spans="1:13" ht="14.5" x14ac:dyDescent="0.35">
      <c r="A21" s="73"/>
      <c r="B21" s="68"/>
      <c r="C21" s="74"/>
      <c r="D21" s="74"/>
      <c r="F21" s="10"/>
      <c r="G21" s="68"/>
      <c r="H21" s="113"/>
      <c r="I21" s="69"/>
      <c r="J21" s="45"/>
      <c r="K21" s="68"/>
      <c r="L21" s="69"/>
      <c r="M21" s="69"/>
    </row>
    <row r="22" spans="1:13" ht="14.5" hidden="1" x14ac:dyDescent="0.3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35">
      <c r="A23" s="75" t="s">
        <v>66</v>
      </c>
      <c r="B23" s="75">
        <f>SUM(B16:B21)</f>
        <v>25</v>
      </c>
      <c r="C23" s="88">
        <f>SUM(C16:C21)</f>
        <v>158587370.35999998</v>
      </c>
      <c r="D23" s="88">
        <f>C23/B23</f>
        <v>6343494.8143999996</v>
      </c>
      <c r="F23" s="75" t="s">
        <v>66</v>
      </c>
      <c r="G23" s="75">
        <f>SUM(G16:G22)</f>
        <v>31</v>
      </c>
      <c r="H23" s="70">
        <f>SUM(H16:H21)</f>
        <v>209503179.16</v>
      </c>
      <c r="I23" s="70">
        <f>H23/G23</f>
        <v>6758167.069677419</v>
      </c>
      <c r="J23" s="46"/>
      <c r="K23" s="68">
        <f>SUM(K16:K22)</f>
        <v>6</v>
      </c>
      <c r="L23" s="70">
        <f>SUM(L16:L22)</f>
        <v>50915808.800000004</v>
      </c>
      <c r="M23" s="70"/>
    </row>
    <row r="24" spans="1:13" ht="13.5" thickTop="1" x14ac:dyDescent="0.3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35">
      <c r="A25" s="71" t="s">
        <v>67</v>
      </c>
      <c r="B25" s="71"/>
      <c r="C25" s="72">
        <f>C11+C23</f>
        <v>538458926.54000008</v>
      </c>
      <c r="D25" s="72"/>
      <c r="E25" s="41"/>
      <c r="F25" s="71" t="s">
        <v>67</v>
      </c>
      <c r="G25" s="71"/>
      <c r="H25" s="72">
        <f>H11+H23</f>
        <v>447885400.94999999</v>
      </c>
      <c r="I25" s="72"/>
      <c r="J25" s="46"/>
      <c r="K25" s="71"/>
      <c r="L25" s="72">
        <f>L23+L11</f>
        <v>-90573525.589999974</v>
      </c>
      <c r="M25" s="72"/>
    </row>
    <row r="26" spans="1:13" ht="13.5" thickTop="1" x14ac:dyDescent="0.3"/>
    <row r="28" spans="1:13" x14ac:dyDescent="0.3">
      <c r="C28" s="78"/>
    </row>
    <row r="32" spans="1:13" x14ac:dyDescent="0.3">
      <c r="C32" s="78"/>
    </row>
    <row r="33" spans="1:13" x14ac:dyDescent="0.3">
      <c r="H33" s="78"/>
      <c r="I33" s="78"/>
    </row>
    <row r="34" spans="1:13" x14ac:dyDescent="0.3">
      <c r="H34" s="78"/>
    </row>
    <row r="35" spans="1:13" x14ac:dyDescent="0.3">
      <c r="H35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f>'Aug 2021'!F38</f>
        <v>44411</v>
      </c>
      <c r="B38" s="49">
        <f>'Aug 2021'!G38</f>
        <v>9</v>
      </c>
      <c r="C38" s="51">
        <f>'Aug 2021'!H38</f>
        <v>51200000</v>
      </c>
      <c r="D38" s="51">
        <f>'Aug 2021'!I38</f>
        <v>8350000</v>
      </c>
      <c r="F38" s="50">
        <f t="shared" ref="F38:I45" si="5">F3</f>
        <v>44774</v>
      </c>
      <c r="G38" s="49">
        <f t="shared" si="5"/>
        <v>10</v>
      </c>
      <c r="H38" s="51">
        <f t="shared" si="5"/>
        <v>58938247</v>
      </c>
      <c r="I38" s="51">
        <f t="shared" si="5"/>
        <v>9060000</v>
      </c>
      <c r="J38" s="45"/>
      <c r="K38" s="49">
        <f t="shared" ref="K38:L45" si="6">G38-B38</f>
        <v>1</v>
      </c>
      <c r="L38" s="38">
        <f t="shared" si="6"/>
        <v>7738247</v>
      </c>
      <c r="M38" s="38">
        <f>D38-I38</f>
        <v>-710000</v>
      </c>
    </row>
    <row r="39" spans="1:13" x14ac:dyDescent="0.3">
      <c r="A39" s="50">
        <f>'Aug 2021'!F39</f>
        <v>44415</v>
      </c>
      <c r="B39" s="49">
        <f>'Aug 2021'!G39</f>
        <v>11</v>
      </c>
      <c r="C39" s="51">
        <f>'Aug 2021'!H39</f>
        <v>66097339</v>
      </c>
      <c r="D39" s="51">
        <f>'Aug 2021'!I39</f>
        <v>19870000</v>
      </c>
      <c r="F39" s="50">
        <f t="shared" si="5"/>
        <v>44779</v>
      </c>
      <c r="G39" s="49">
        <f t="shared" si="5"/>
        <v>10</v>
      </c>
      <c r="H39" s="51">
        <f t="shared" si="5"/>
        <v>69844531</v>
      </c>
      <c r="I39" s="51">
        <f t="shared" si="5"/>
        <v>15040000</v>
      </c>
      <c r="J39" s="45"/>
      <c r="K39" s="49">
        <f t="shared" si="6"/>
        <v>-1</v>
      </c>
      <c r="L39" s="38">
        <f t="shared" si="6"/>
        <v>3747192</v>
      </c>
      <c r="M39" s="38">
        <f t="shared" ref="M39:M45" si="7">D39-I39</f>
        <v>4830000</v>
      </c>
    </row>
    <row r="40" spans="1:13" x14ac:dyDescent="0.3">
      <c r="A40" s="50">
        <f>'Aug 2021'!F40</f>
        <v>44417</v>
      </c>
      <c r="B40" s="49">
        <f>'Aug 2021'!G40</f>
        <v>10</v>
      </c>
      <c r="C40" s="51">
        <f>'Aug 2021'!H40</f>
        <v>50177567.509999998</v>
      </c>
      <c r="D40" s="51">
        <f>'Aug 2021'!I40</f>
        <v>7290000</v>
      </c>
      <c r="F40" s="50">
        <f t="shared" si="5"/>
        <v>44780</v>
      </c>
      <c r="G40" s="49">
        <f t="shared" si="5"/>
        <v>9</v>
      </c>
      <c r="H40" s="51">
        <f t="shared" si="5"/>
        <v>49799443.789999999</v>
      </c>
      <c r="I40" s="51">
        <f t="shared" si="5"/>
        <v>10180000</v>
      </c>
      <c r="J40" s="45"/>
      <c r="K40" s="49">
        <f t="shared" si="6"/>
        <v>-1</v>
      </c>
      <c r="L40" s="38">
        <f t="shared" si="6"/>
        <v>-378123.71999999881</v>
      </c>
      <c r="M40" s="38">
        <f t="shared" si="7"/>
        <v>-2890000</v>
      </c>
    </row>
    <row r="41" spans="1:13" x14ac:dyDescent="0.3">
      <c r="A41" s="50">
        <f>'Aug 2021'!F41</f>
        <v>44422</v>
      </c>
      <c r="B41" s="49">
        <f>'Aug 2021'!G41</f>
        <v>9</v>
      </c>
      <c r="C41" s="51">
        <f>'Aug 2021'!H41</f>
        <v>48775782.240000002</v>
      </c>
      <c r="D41" s="51">
        <f>'Aug 2021'!I41</f>
        <v>7360000</v>
      </c>
      <c r="F41" s="50">
        <f t="shared" si="5"/>
        <v>44786</v>
      </c>
      <c r="G41" s="49">
        <f t="shared" si="5"/>
        <v>10</v>
      </c>
      <c r="H41" s="51">
        <v>59844800.829999998</v>
      </c>
      <c r="I41" s="51">
        <f>I6</f>
        <v>8400000</v>
      </c>
      <c r="J41" s="45"/>
      <c r="K41" s="49">
        <f t="shared" si="6"/>
        <v>1</v>
      </c>
      <c r="L41" s="38">
        <f t="shared" si="6"/>
        <v>11069018.589999996</v>
      </c>
      <c r="M41" s="38">
        <f t="shared" si="7"/>
        <v>-1040000</v>
      </c>
    </row>
    <row r="42" spans="1:13" x14ac:dyDescent="0.3">
      <c r="A42" s="50">
        <f>'Aug 2021'!F42</f>
        <v>44429</v>
      </c>
      <c r="B42" s="49">
        <f>'Aug 2021'!G42</f>
        <v>10</v>
      </c>
      <c r="C42" s="51">
        <f>'Aug 2021'!H42</f>
        <v>58811054.969999999</v>
      </c>
      <c r="D42" s="51">
        <f>'Aug 2021'!I42</f>
        <v>7440000</v>
      </c>
      <c r="F42" s="50">
        <f t="shared" si="5"/>
        <v>44793</v>
      </c>
      <c r="G42" s="49">
        <f t="shared" si="5"/>
        <v>10</v>
      </c>
      <c r="H42" s="51">
        <v>57989848.700000003</v>
      </c>
      <c r="I42" s="51">
        <v>890000</v>
      </c>
      <c r="J42" s="45"/>
      <c r="K42" s="49">
        <f t="shared" si="6"/>
        <v>0</v>
      </c>
      <c r="L42" s="38">
        <f t="shared" si="6"/>
        <v>-821206.26999999583</v>
      </c>
      <c r="M42" s="38">
        <f t="shared" si="7"/>
        <v>6550000</v>
      </c>
    </row>
    <row r="43" spans="1:13" x14ac:dyDescent="0.3">
      <c r="A43" s="50">
        <f>'Aug 2021'!F43</f>
        <v>44433</v>
      </c>
      <c r="B43" s="49">
        <f>'Aug 2021'!G43</f>
        <v>9</v>
      </c>
      <c r="C43" s="51">
        <f>'Aug 2021'!H43</f>
        <v>46169429.229999997</v>
      </c>
      <c r="D43" s="51">
        <f>'Aug 2021'!I43</f>
        <v>6650000</v>
      </c>
      <c r="F43" s="50">
        <f t="shared" si="5"/>
        <v>44794</v>
      </c>
      <c r="G43" s="49">
        <f t="shared" si="5"/>
        <v>9</v>
      </c>
      <c r="H43" s="51">
        <v>52846231</v>
      </c>
      <c r="I43" s="51">
        <v>6940000</v>
      </c>
      <c r="J43" s="45"/>
      <c r="K43" s="49">
        <f t="shared" si="6"/>
        <v>0</v>
      </c>
      <c r="L43" s="38">
        <f t="shared" si="6"/>
        <v>6676801.7700000033</v>
      </c>
      <c r="M43" s="38">
        <f t="shared" si="7"/>
        <v>-290000</v>
      </c>
    </row>
    <row r="44" spans="1:13" x14ac:dyDescent="0.3">
      <c r="A44" s="50">
        <f>'Aug 2021'!F44</f>
        <v>44436</v>
      </c>
      <c r="B44" s="49">
        <f>'Aug 2021'!G44</f>
        <v>11</v>
      </c>
      <c r="C44" s="51">
        <f>'Aug 2021'!H44</f>
        <v>58640383.229999997</v>
      </c>
      <c r="D44" s="51">
        <f>'Aug 2021'!I44</f>
        <v>8980000</v>
      </c>
      <c r="F44" s="50">
        <f t="shared" si="5"/>
        <v>44800</v>
      </c>
      <c r="G44" s="49">
        <f t="shared" si="5"/>
        <v>10</v>
      </c>
      <c r="H44" s="51">
        <v>58554546</v>
      </c>
      <c r="I44" s="51">
        <v>7680000</v>
      </c>
      <c r="J44" s="45"/>
      <c r="K44" s="49">
        <f t="shared" si="6"/>
        <v>-1</v>
      </c>
      <c r="L44" s="38">
        <f t="shared" si="6"/>
        <v>-85837.229999996722</v>
      </c>
      <c r="M44" s="38">
        <f t="shared" si="7"/>
        <v>1300000</v>
      </c>
    </row>
    <row r="45" spans="1:13" x14ac:dyDescent="0.3">
      <c r="A45" s="50"/>
      <c r="B45" s="49"/>
      <c r="C45" s="51"/>
      <c r="D45" s="51"/>
      <c r="F45" s="50">
        <f t="shared" si="5"/>
        <v>44801</v>
      </c>
      <c r="G45" s="49">
        <v>10</v>
      </c>
      <c r="H45" s="51">
        <v>60523584</v>
      </c>
      <c r="I45" s="43">
        <v>8290000</v>
      </c>
      <c r="J45" s="45"/>
      <c r="K45" s="49">
        <f t="shared" si="6"/>
        <v>10</v>
      </c>
      <c r="L45" s="38">
        <f t="shared" si="6"/>
        <v>60523584</v>
      </c>
      <c r="M45" s="38">
        <f t="shared" si="7"/>
        <v>-8290000</v>
      </c>
    </row>
    <row r="46" spans="1:13" ht="15" thickBot="1" x14ac:dyDescent="0.4">
      <c r="A46" s="52" t="s">
        <v>66</v>
      </c>
      <c r="B46" s="52">
        <f>SUM(B38:B45)</f>
        <v>69</v>
      </c>
      <c r="C46" s="39">
        <f>SUM(C38:C45)</f>
        <v>379871556.18000007</v>
      </c>
      <c r="D46" s="54">
        <f>SUM(D38:D45)</f>
        <v>65940000</v>
      </c>
      <c r="F46" s="52" t="s">
        <v>66</v>
      </c>
      <c r="G46" s="52">
        <f>SUM(G38:G45)</f>
        <v>78</v>
      </c>
      <c r="H46" s="39">
        <f>SUM(H38:H45)</f>
        <v>468341232.31999999</v>
      </c>
      <c r="I46" s="39">
        <f>SUM(I38:I45)</f>
        <v>66480000</v>
      </c>
      <c r="J46" s="46"/>
      <c r="K46" s="14">
        <f>G46-B46</f>
        <v>9</v>
      </c>
      <c r="L46" s="39">
        <f>SUM(L38:L45)</f>
        <v>88469676.140000015</v>
      </c>
      <c r="M46" s="39">
        <f>SUM(M38:M45)</f>
        <v>-540000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9.8571428571428577</v>
      </c>
      <c r="C48" s="63">
        <f>SUM(C38:C45)/COUNT(C38:C45)</f>
        <v>54267365.168571435</v>
      </c>
      <c r="D48" s="63">
        <f>SUM(D38:D45)/COUNT(D38:D45)</f>
        <v>9420000</v>
      </c>
      <c r="F48" s="59"/>
      <c r="G48" s="60">
        <f>SUM(G38:G45)/COUNT(G38:G45)</f>
        <v>9.75</v>
      </c>
      <c r="H48" s="61">
        <f>SUM(H38:H45)/COUNT(H38:H45)</f>
        <v>58542654.039999999</v>
      </c>
      <c r="I48" s="61">
        <f>SUM(I38:I45)/COUNT(I38:I45)</f>
        <v>8310000</v>
      </c>
      <c r="J48" s="48"/>
      <c r="K48" s="62">
        <f>SUM(K38:K45)/COUNT(K38:K45)</f>
        <v>1.125</v>
      </c>
      <c r="L48" s="63">
        <f>SUM(L38:L45)/COUNT(L38:L45)</f>
        <v>11058709.517500002</v>
      </c>
      <c r="M48" s="63">
        <f>SUM(M38:M45)/COUNT(M38:M45)</f>
        <v>-67500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44415</v>
      </c>
      <c r="B52" s="68">
        <v>7</v>
      </c>
      <c r="C52" s="74">
        <f>'Aug 2021'!H21</f>
        <v>50600458.93</v>
      </c>
      <c r="D52" s="74"/>
      <c r="F52" s="73">
        <v>44779</v>
      </c>
      <c r="G52" s="68">
        <v>6</v>
      </c>
      <c r="H52" s="74">
        <v>80624124.180000007</v>
      </c>
      <c r="I52" s="69"/>
      <c r="J52" s="45"/>
      <c r="K52" s="68">
        <f>G52-B52</f>
        <v>-1</v>
      </c>
      <c r="L52" s="69">
        <f>H52-C52</f>
        <v>30023665.250000007</v>
      </c>
      <c r="M52" s="69"/>
    </row>
    <row r="53" spans="1:13" x14ac:dyDescent="0.3">
      <c r="A53" s="73">
        <v>44422</v>
      </c>
      <c r="B53" s="68">
        <v>7</v>
      </c>
      <c r="C53" s="74">
        <f>'Aug 2021'!H22</f>
        <v>44925240.229999997</v>
      </c>
      <c r="D53" s="74"/>
      <c r="F53" s="73">
        <v>44786</v>
      </c>
      <c r="G53" s="68">
        <v>7</v>
      </c>
      <c r="H53" s="74">
        <v>79900375.920000002</v>
      </c>
      <c r="I53" s="69"/>
      <c r="J53" s="45"/>
      <c r="K53" s="68">
        <f t="shared" ref="K53:L57" si="8">G53-B53</f>
        <v>0</v>
      </c>
      <c r="L53" s="69">
        <f t="shared" si="8"/>
        <v>34975135.690000005</v>
      </c>
      <c r="M53" s="69"/>
    </row>
    <row r="54" spans="1:13" x14ac:dyDescent="0.3">
      <c r="A54" s="73">
        <v>44429</v>
      </c>
      <c r="B54" s="68">
        <v>7</v>
      </c>
      <c r="C54" s="74">
        <f>'Aug 2021'!H23</f>
        <v>35032249.880000003</v>
      </c>
      <c r="D54" s="74"/>
      <c r="F54" s="73">
        <v>44793</v>
      </c>
      <c r="G54" s="68">
        <v>7</v>
      </c>
      <c r="H54" s="74">
        <v>86650808.819999993</v>
      </c>
      <c r="I54" s="69"/>
      <c r="J54" s="45"/>
      <c r="K54" s="68">
        <f t="shared" si="8"/>
        <v>0</v>
      </c>
      <c r="L54" s="69">
        <f t="shared" si="8"/>
        <v>51618558.93999999</v>
      </c>
      <c r="M54" s="69"/>
    </row>
    <row r="55" spans="1:13" x14ac:dyDescent="0.3">
      <c r="A55" s="73">
        <v>44436</v>
      </c>
      <c r="B55" s="68">
        <v>7</v>
      </c>
      <c r="C55" s="74">
        <f>'Aug 2021'!H24</f>
        <v>28029421.32</v>
      </c>
      <c r="D55" s="74"/>
      <c r="F55" s="73">
        <v>44800</v>
      </c>
      <c r="G55" s="68">
        <v>7</v>
      </c>
      <c r="H55" s="74">
        <v>86108329.560000002</v>
      </c>
      <c r="I55" s="69"/>
      <c r="J55" s="45"/>
      <c r="K55" s="68">
        <f t="shared" si="8"/>
        <v>0</v>
      </c>
      <c r="L55" s="69">
        <f>H55-C55</f>
        <v>58078908.240000002</v>
      </c>
      <c r="M55" s="69"/>
    </row>
    <row r="56" spans="1:13" x14ac:dyDescent="0.3">
      <c r="A56" s="73">
        <v>44439</v>
      </c>
      <c r="B56" s="68">
        <v>3</v>
      </c>
      <c r="C56" s="74">
        <f>'Aug 2021'!H25</f>
        <v>0</v>
      </c>
      <c r="D56" s="74"/>
      <c r="F56" s="73">
        <v>44804</v>
      </c>
      <c r="G56" s="68">
        <v>4</v>
      </c>
      <c r="H56" s="113">
        <v>38597965.57</v>
      </c>
      <c r="J56" s="45"/>
      <c r="K56" s="68">
        <f t="shared" si="8"/>
        <v>1</v>
      </c>
      <c r="L56" s="69">
        <f>H56-C56</f>
        <v>38597965.57</v>
      </c>
      <c r="M56" s="69"/>
    </row>
    <row r="57" spans="1:13" x14ac:dyDescent="0.3">
      <c r="A57" s="73"/>
      <c r="B57" s="68"/>
      <c r="C57" s="74"/>
      <c r="D57" s="74"/>
      <c r="F57" s="73"/>
      <c r="G57" s="68"/>
      <c r="H57" s="74"/>
      <c r="I57" s="69"/>
      <c r="J57" s="45"/>
      <c r="K57" s="68"/>
      <c r="L57" s="69">
        <f t="shared" si="8"/>
        <v>0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31</v>
      </c>
      <c r="C59" s="70">
        <f>SUM(C52:C58)</f>
        <v>158587370.35999998</v>
      </c>
      <c r="D59" s="70"/>
      <c r="F59" s="75" t="s">
        <v>66</v>
      </c>
      <c r="G59" s="75">
        <f>SUM(G52:G58)</f>
        <v>31</v>
      </c>
      <c r="H59" s="70">
        <f>SUM(H52:H58)</f>
        <v>371881604.05000001</v>
      </c>
      <c r="I59" s="70"/>
      <c r="J59" s="46"/>
      <c r="K59" s="68">
        <f>SUM(K52:K58)</f>
        <v>0</v>
      </c>
      <c r="L59" s="70">
        <f>SUM(L52:L58)</f>
        <v>213294233.69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538458926.54000008</v>
      </c>
      <c r="D61" s="72"/>
      <c r="E61" s="41"/>
      <c r="F61" s="71" t="s">
        <v>67</v>
      </c>
      <c r="G61" s="71"/>
      <c r="H61" s="72">
        <f>H59+H46</f>
        <v>840222836.37</v>
      </c>
      <c r="I61" s="72"/>
      <c r="J61" s="46"/>
      <c r="K61" s="71"/>
      <c r="L61" s="72">
        <f>L59+L46</f>
        <v>301763909.83000004</v>
      </c>
      <c r="M61" s="72"/>
    </row>
    <row r="62" spans="1:13" ht="13.5" thickTop="1" x14ac:dyDescent="0.3"/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A61E-9497-4E47-8D85-FB9DB4791235}">
  <dimension ref="A1:M62"/>
  <sheetViews>
    <sheetView workbookViewId="0">
      <selection activeCell="F16" sqref="F16:I20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6.7265625" style="35" bestFit="1" customWidth="1"/>
    <col min="7" max="7" width="5.7265625" style="35" customWidth="1"/>
    <col min="8" max="8" width="19.81640625" style="35" bestFit="1" customWidth="1"/>
    <col min="9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50">
        <v>44443</v>
      </c>
      <c r="B3" s="49">
        <v>11</v>
      </c>
      <c r="C3" s="51">
        <v>54441445</v>
      </c>
      <c r="D3" s="51">
        <v>11440000</v>
      </c>
      <c r="F3" s="10">
        <v>44807</v>
      </c>
      <c r="G3" s="90">
        <v>10</v>
      </c>
      <c r="H3" s="51">
        <v>63319212</v>
      </c>
      <c r="I3" s="51">
        <v>11205400</v>
      </c>
      <c r="J3" s="45"/>
      <c r="K3" s="49">
        <f t="shared" ref="K3:L9" si="0">G3-B3</f>
        <v>-1</v>
      </c>
      <c r="L3" s="38">
        <f t="shared" si="0"/>
        <v>8877767</v>
      </c>
      <c r="M3" s="38">
        <f>D3-I3</f>
        <v>234600</v>
      </c>
    </row>
    <row r="4" spans="1:13" ht="14.5" x14ac:dyDescent="0.35">
      <c r="A4" s="50">
        <v>44450</v>
      </c>
      <c r="B4" s="49">
        <v>10</v>
      </c>
      <c r="C4" s="51">
        <v>58270518.869999997</v>
      </c>
      <c r="D4" s="51">
        <v>8790000</v>
      </c>
      <c r="F4" s="10">
        <v>44814</v>
      </c>
      <c r="G4" s="93">
        <v>10</v>
      </c>
      <c r="H4" s="51">
        <v>62630449.780000001</v>
      </c>
      <c r="I4" s="51">
        <v>9521600</v>
      </c>
      <c r="J4" s="45"/>
      <c r="K4" s="49">
        <f t="shared" si="0"/>
        <v>0</v>
      </c>
      <c r="L4" s="38">
        <f t="shared" si="0"/>
        <v>4359930.9100000039</v>
      </c>
      <c r="M4" s="38">
        <f t="shared" ref="M4:M9" si="1">D4-I4</f>
        <v>-731600</v>
      </c>
    </row>
    <row r="5" spans="1:13" ht="14.5" x14ac:dyDescent="0.35">
      <c r="A5" s="50">
        <v>44454</v>
      </c>
      <c r="B5" s="49">
        <v>10</v>
      </c>
      <c r="C5" s="51">
        <v>50125029.630000003</v>
      </c>
      <c r="D5" s="51">
        <v>7510000</v>
      </c>
      <c r="F5" s="10">
        <v>44815</v>
      </c>
      <c r="G5" s="93">
        <v>9</v>
      </c>
      <c r="H5" s="51">
        <v>55518105.719999999</v>
      </c>
      <c r="I5" s="51">
        <v>8557600</v>
      </c>
      <c r="J5" s="45"/>
      <c r="K5" s="49">
        <f t="shared" si="0"/>
        <v>-1</v>
      </c>
      <c r="L5" s="38">
        <f t="shared" si="0"/>
        <v>5393076.0899999961</v>
      </c>
      <c r="M5" s="38">
        <f t="shared" si="1"/>
        <v>-1047600</v>
      </c>
    </row>
    <row r="6" spans="1:13" ht="14.5" x14ac:dyDescent="0.35">
      <c r="A6" s="50">
        <v>44457</v>
      </c>
      <c r="B6" s="49">
        <v>9</v>
      </c>
      <c r="C6" s="51">
        <v>50237780</v>
      </c>
      <c r="D6" s="51">
        <v>6850000</v>
      </c>
      <c r="F6" s="10">
        <v>44821</v>
      </c>
      <c r="G6" s="93">
        <v>10</v>
      </c>
      <c r="H6" s="51">
        <v>64157323.140000001</v>
      </c>
      <c r="I6" s="51">
        <v>8730000</v>
      </c>
      <c r="J6" s="45"/>
      <c r="K6" s="49">
        <f t="shared" si="0"/>
        <v>1</v>
      </c>
      <c r="L6" s="38">
        <f t="shared" si="0"/>
        <v>13919543.140000001</v>
      </c>
      <c r="M6" s="38">
        <f t="shared" si="1"/>
        <v>-1880000</v>
      </c>
    </row>
    <row r="7" spans="1:13" ht="14.5" x14ac:dyDescent="0.35">
      <c r="A7" s="50">
        <v>44461</v>
      </c>
      <c r="B7" s="49">
        <v>10</v>
      </c>
      <c r="C7" s="51">
        <v>53911686</v>
      </c>
      <c r="D7" s="51">
        <f>720000+620000+500000+870000+650000+600000+930000+870000+900000+1000000</f>
        <v>7660000</v>
      </c>
      <c r="F7" s="10">
        <v>44824</v>
      </c>
      <c r="G7" s="93">
        <v>9</v>
      </c>
      <c r="H7" s="51">
        <v>54294985.189999998</v>
      </c>
      <c r="I7" s="51">
        <v>7430000</v>
      </c>
      <c r="J7" s="45"/>
      <c r="K7" s="49">
        <f t="shared" si="0"/>
        <v>-1</v>
      </c>
      <c r="L7" s="38">
        <f t="shared" si="0"/>
        <v>383299.18999999762</v>
      </c>
      <c r="M7" s="38">
        <f t="shared" si="1"/>
        <v>230000</v>
      </c>
    </row>
    <row r="8" spans="1:13" ht="14.5" x14ac:dyDescent="0.35">
      <c r="A8" s="50">
        <v>44464</v>
      </c>
      <c r="B8" s="49">
        <v>10</v>
      </c>
      <c r="C8" s="51">
        <v>49885533.799999997</v>
      </c>
      <c r="D8" s="51">
        <v>7950000</v>
      </c>
      <c r="F8" s="10">
        <v>44828</v>
      </c>
      <c r="G8" s="93">
        <v>10</v>
      </c>
      <c r="H8" s="51">
        <v>54148312.75</v>
      </c>
      <c r="I8" s="51">
        <v>9100000</v>
      </c>
      <c r="J8" s="45"/>
      <c r="K8" s="49">
        <f t="shared" si="0"/>
        <v>0</v>
      </c>
      <c r="L8" s="38">
        <f t="shared" si="0"/>
        <v>4262778.950000003</v>
      </c>
      <c r="M8" s="38">
        <f t="shared" si="1"/>
        <v>-1150000</v>
      </c>
    </row>
    <row r="9" spans="1:13" ht="14.5" x14ac:dyDescent="0.35">
      <c r="A9" s="50">
        <v>44466</v>
      </c>
      <c r="B9" s="49">
        <v>11</v>
      </c>
      <c r="C9" s="51">
        <v>50539113.43</v>
      </c>
      <c r="D9" s="51">
        <v>8410000</v>
      </c>
      <c r="F9" s="10">
        <v>44829</v>
      </c>
      <c r="G9" s="107">
        <v>10</v>
      </c>
      <c r="H9" s="51">
        <v>44392281.270000003</v>
      </c>
      <c r="I9" s="108">
        <v>9000000</v>
      </c>
      <c r="J9" s="45"/>
      <c r="K9" s="49">
        <f t="shared" si="0"/>
        <v>-1</v>
      </c>
      <c r="L9" s="38">
        <f t="shared" si="0"/>
        <v>-6146832.1599999964</v>
      </c>
      <c r="M9" s="38">
        <f t="shared" si="1"/>
        <v>-590000</v>
      </c>
    </row>
    <row r="10" spans="1:13" ht="14.5" x14ac:dyDescent="0.35">
      <c r="A10" s="50"/>
      <c r="B10" s="49"/>
      <c r="C10" s="51"/>
      <c r="D10" s="51"/>
      <c r="F10" s="10"/>
      <c r="G10" s="49"/>
      <c r="H10" s="51"/>
      <c r="I10" s="43"/>
      <c r="J10" s="45"/>
      <c r="K10" s="49"/>
      <c r="L10" s="38"/>
      <c r="M10" s="38"/>
    </row>
    <row r="11" spans="1:13" ht="15" thickBot="1" x14ac:dyDescent="0.4">
      <c r="A11" s="52" t="s">
        <v>66</v>
      </c>
      <c r="B11" s="52">
        <f>SUM(B3:B10)</f>
        <v>71</v>
      </c>
      <c r="C11" s="39">
        <f>SUM(C3:C10)</f>
        <v>367411106.73000002</v>
      </c>
      <c r="D11" s="54">
        <f>SUM(D3:D10)</f>
        <v>58610000</v>
      </c>
      <c r="F11" s="52" t="s">
        <v>66</v>
      </c>
      <c r="G11" s="52">
        <f>SUM(G3:G10)</f>
        <v>68</v>
      </c>
      <c r="H11" s="39">
        <f>SUM(H3:H10)</f>
        <v>398460669.84999996</v>
      </c>
      <c r="I11" s="39">
        <f>SUM(I3:I10)</f>
        <v>63544600</v>
      </c>
      <c r="J11" s="46"/>
      <c r="K11" s="14">
        <f>G11-B11</f>
        <v>-3</v>
      </c>
      <c r="L11" s="39">
        <f>SUM(L3:L10)</f>
        <v>31049563.120000005</v>
      </c>
      <c r="M11" s="39">
        <f>SUM(M3:M10)</f>
        <v>-4934600</v>
      </c>
    </row>
    <row r="12" spans="1:13" ht="13.5" thickTop="1" x14ac:dyDescent="0.3">
      <c r="A12" s="65" t="s">
        <v>72</v>
      </c>
      <c r="B12" s="62">
        <f>SUM(B3:B10)/COUNT(B3:B10)</f>
        <v>10.142857142857142</v>
      </c>
      <c r="C12" s="63">
        <f>SUM(C3:C10)/COUNT(C3:C10)</f>
        <v>52487300.961428575</v>
      </c>
      <c r="D12" s="63">
        <f>SUM(D3:D10)/COUNT(D3:D10)</f>
        <v>8372857.1428571427</v>
      </c>
      <c r="F12" s="59"/>
      <c r="G12" s="60">
        <f>SUM(G3:G10)/COUNT(G3:G10)</f>
        <v>9.7142857142857135</v>
      </c>
      <c r="H12" s="61">
        <f>SUM(H3:H10)/COUNT(H3:H10)</f>
        <v>56922952.835714281</v>
      </c>
      <c r="I12" s="61">
        <f>SUM(I3:I10)/COUNT(I3:I10)</f>
        <v>9077800</v>
      </c>
      <c r="J12" s="48"/>
      <c r="K12" s="62">
        <f>SUM(K3:K10)/COUNT(K3:K10)</f>
        <v>-0.42857142857142855</v>
      </c>
      <c r="L12" s="63">
        <f>SUM(L3:L10)/COUNT(L3:L10)</f>
        <v>4435651.8742857147</v>
      </c>
      <c r="M12" s="63">
        <f>SUM(M3:M10)/COUNT(M3:M10)</f>
        <v>-704942.85714285716</v>
      </c>
    </row>
    <row r="13" spans="1:13" x14ac:dyDescent="0.3">
      <c r="H13" s="78">
        <f>H11/G11</f>
        <v>5859715.7330882344</v>
      </c>
    </row>
    <row r="14" spans="1:13" x14ac:dyDescent="0.3">
      <c r="A14" s="34" t="s">
        <v>71</v>
      </c>
    </row>
    <row r="15" spans="1:13" ht="29.5" thickBot="1" x14ac:dyDescent="0.4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4.5" x14ac:dyDescent="0.35">
      <c r="A16" s="73">
        <v>44443</v>
      </c>
      <c r="B16" s="68">
        <v>4</v>
      </c>
      <c r="C16" s="74">
        <f>14059041.37+16452731.41</f>
        <v>30511772.780000001</v>
      </c>
      <c r="D16" s="74">
        <f>C16/B16</f>
        <v>7627943.1950000003</v>
      </c>
      <c r="F16" s="10">
        <v>44807</v>
      </c>
      <c r="G16" s="68">
        <v>3</v>
      </c>
      <c r="H16" s="74">
        <v>48772476.159999996</v>
      </c>
      <c r="I16" s="69">
        <f>H16/G16</f>
        <v>16257492.053333333</v>
      </c>
      <c r="J16" s="45"/>
      <c r="K16" s="68">
        <f t="shared" ref="K16:L20" si="2">G16-B16</f>
        <v>-1</v>
      </c>
      <c r="L16" s="69">
        <f>H16-C16</f>
        <v>18260703.379999995</v>
      </c>
      <c r="M16" s="69"/>
    </row>
    <row r="17" spans="1:13" ht="14.5" x14ac:dyDescent="0.35">
      <c r="A17" s="73">
        <v>44450</v>
      </c>
      <c r="B17" s="68">
        <v>7</v>
      </c>
      <c r="C17" s="74">
        <v>25360997.579999998</v>
      </c>
      <c r="D17" s="74">
        <f t="shared" ref="D17:D20" si="3">C17/B17</f>
        <v>3622999.654285714</v>
      </c>
      <c r="F17" s="10">
        <v>44814</v>
      </c>
      <c r="G17" s="68">
        <v>7</v>
      </c>
      <c r="H17" s="74">
        <v>76394598.459999993</v>
      </c>
      <c r="I17" s="69">
        <f t="shared" ref="I17:I20" si="4">H17/G17</f>
        <v>10913514.065714285</v>
      </c>
      <c r="J17" s="45"/>
      <c r="K17" s="68">
        <f t="shared" si="2"/>
        <v>0</v>
      </c>
      <c r="L17" s="69">
        <f>H17-C17</f>
        <v>51033600.879999995</v>
      </c>
      <c r="M17" s="69"/>
    </row>
    <row r="18" spans="1:13" ht="14.5" x14ac:dyDescent="0.35">
      <c r="A18" s="73">
        <v>44457</v>
      </c>
      <c r="B18" s="68">
        <v>7</v>
      </c>
      <c r="C18" s="74">
        <f>25933549.4+14871949.94</f>
        <v>40805499.339999996</v>
      </c>
      <c r="D18" s="74">
        <f t="shared" si="3"/>
        <v>5829357.0485714283</v>
      </c>
      <c r="F18" s="10">
        <v>44821</v>
      </c>
      <c r="G18" s="68">
        <v>7</v>
      </c>
      <c r="H18" s="74">
        <f>53738169.61+18380509.55</f>
        <v>72118679.159999996</v>
      </c>
      <c r="I18" s="69">
        <f t="shared" si="4"/>
        <v>10302668.451428572</v>
      </c>
      <c r="J18" s="45"/>
      <c r="K18" s="68">
        <f t="shared" si="2"/>
        <v>0</v>
      </c>
      <c r="L18" s="69">
        <f>H18-C18</f>
        <v>31313179.82</v>
      </c>
      <c r="M18" s="69"/>
    </row>
    <row r="19" spans="1:13" ht="14.5" x14ac:dyDescent="0.35">
      <c r="A19" s="73">
        <v>44464</v>
      </c>
      <c r="B19" s="68">
        <v>7</v>
      </c>
      <c r="C19" s="74">
        <v>50155231.539999999</v>
      </c>
      <c r="D19" s="74">
        <f t="shared" si="3"/>
        <v>7165033.077142857</v>
      </c>
      <c r="F19" s="10">
        <v>44828</v>
      </c>
      <c r="G19" s="68">
        <v>7</v>
      </c>
      <c r="H19" s="74">
        <v>75880018.810000002</v>
      </c>
      <c r="I19" s="69">
        <f t="shared" si="4"/>
        <v>10840002.687142858</v>
      </c>
      <c r="J19" s="45"/>
      <c r="K19" s="68">
        <f t="shared" si="2"/>
        <v>0</v>
      </c>
      <c r="L19" s="69">
        <f t="shared" si="2"/>
        <v>25724787.270000003</v>
      </c>
      <c r="M19" s="69"/>
    </row>
    <row r="20" spans="1:13" ht="14.5" x14ac:dyDescent="0.35">
      <c r="A20" s="73">
        <v>44469</v>
      </c>
      <c r="B20" s="68">
        <v>5</v>
      </c>
      <c r="C20" s="74">
        <v>26049268.010000002</v>
      </c>
      <c r="D20" s="74">
        <f t="shared" si="3"/>
        <v>5209853.602</v>
      </c>
      <c r="F20" s="10">
        <v>44834</v>
      </c>
      <c r="G20" s="68">
        <v>6</v>
      </c>
      <c r="H20" s="113">
        <v>57289672.020000003</v>
      </c>
      <c r="I20" s="69">
        <f t="shared" si="4"/>
        <v>9548278.6699999999</v>
      </c>
      <c r="J20" s="45"/>
      <c r="K20" s="68">
        <f t="shared" si="2"/>
        <v>1</v>
      </c>
      <c r="L20" s="69">
        <f t="shared" si="2"/>
        <v>31240404.010000002</v>
      </c>
      <c r="M20" s="69"/>
    </row>
    <row r="21" spans="1:13" ht="14.5" x14ac:dyDescent="0.35">
      <c r="A21" s="73"/>
      <c r="B21" s="68"/>
      <c r="C21" s="74"/>
      <c r="D21" s="74"/>
      <c r="F21" s="10"/>
      <c r="G21" s="68"/>
      <c r="H21" s="113"/>
      <c r="I21" s="69"/>
      <c r="J21" s="45"/>
      <c r="K21" s="68"/>
      <c r="L21" s="69"/>
      <c r="M21" s="69"/>
    </row>
    <row r="22" spans="1:13" ht="14.5" hidden="1" x14ac:dyDescent="0.3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35">
      <c r="A23" s="75" t="s">
        <v>66</v>
      </c>
      <c r="B23" s="75">
        <f>SUM(B16:B21)</f>
        <v>30</v>
      </c>
      <c r="C23" s="88">
        <f>SUM(C16:C21)</f>
        <v>172882769.24999997</v>
      </c>
      <c r="D23" s="88">
        <f>C23/B23</f>
        <v>5762758.9749999987</v>
      </c>
      <c r="F23" s="75" t="s">
        <v>66</v>
      </c>
      <c r="G23" s="75">
        <f>SUM(G16:G22)</f>
        <v>30</v>
      </c>
      <c r="H23" s="70">
        <f>SUM(H16:H21)</f>
        <v>330455444.60999995</v>
      </c>
      <c r="I23" s="70">
        <f>H23/G23</f>
        <v>11015181.486999998</v>
      </c>
      <c r="J23" s="46"/>
      <c r="K23" s="68">
        <f>SUM(K16:K22)</f>
        <v>0</v>
      </c>
      <c r="L23" s="70">
        <f>SUM(L16:L22)</f>
        <v>157572675.35999998</v>
      </c>
      <c r="M23" s="70"/>
    </row>
    <row r="24" spans="1:13" ht="13.5" thickTop="1" x14ac:dyDescent="0.3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35">
      <c r="A25" s="71" t="s">
        <v>67</v>
      </c>
      <c r="B25" s="71"/>
      <c r="C25" s="72">
        <f>C11+C23</f>
        <v>540293875.98000002</v>
      </c>
      <c r="D25" s="72"/>
      <c r="E25" s="41"/>
      <c r="F25" s="71" t="s">
        <v>67</v>
      </c>
      <c r="G25" s="71"/>
      <c r="H25" s="72">
        <f>H11+H23</f>
        <v>728916114.45999992</v>
      </c>
      <c r="I25" s="72"/>
      <c r="J25" s="46"/>
      <c r="K25" s="71"/>
      <c r="L25" s="72">
        <f>L23+L11</f>
        <v>188622238.47999999</v>
      </c>
      <c r="M25" s="72"/>
    </row>
    <row r="26" spans="1:13" ht="13.5" thickTop="1" x14ac:dyDescent="0.3"/>
    <row r="28" spans="1:13" x14ac:dyDescent="0.3">
      <c r="C28" s="78"/>
    </row>
    <row r="32" spans="1:13" x14ac:dyDescent="0.3">
      <c r="C32" s="78"/>
    </row>
    <row r="33" spans="1:13" x14ac:dyDescent="0.3">
      <c r="H33" s="78"/>
      <c r="I33" s="78"/>
    </row>
    <row r="34" spans="1:13" x14ac:dyDescent="0.3">
      <c r="H34" s="78"/>
    </row>
    <row r="35" spans="1:13" x14ac:dyDescent="0.3">
      <c r="H35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f>'Aug 2021'!F38</f>
        <v>44411</v>
      </c>
      <c r="B38" s="49">
        <f>'Aug 2021'!G38</f>
        <v>9</v>
      </c>
      <c r="C38" s="51">
        <f>'Aug 2021'!H38</f>
        <v>51200000</v>
      </c>
      <c r="D38" s="51">
        <f>'Aug 2021'!I38</f>
        <v>8350000</v>
      </c>
      <c r="F38" s="50">
        <f t="shared" ref="F38:I45" si="5">F3</f>
        <v>44807</v>
      </c>
      <c r="G38" s="49">
        <f t="shared" si="5"/>
        <v>10</v>
      </c>
      <c r="H38" s="51">
        <f t="shared" si="5"/>
        <v>63319212</v>
      </c>
      <c r="I38" s="51">
        <f t="shared" si="5"/>
        <v>11205400</v>
      </c>
      <c r="J38" s="45"/>
      <c r="K38" s="49">
        <f t="shared" ref="K38:L45" si="6">G38-B38</f>
        <v>1</v>
      </c>
      <c r="L38" s="38">
        <f t="shared" si="6"/>
        <v>12119212</v>
      </c>
      <c r="M38" s="38">
        <f>D38-I38</f>
        <v>-2855400</v>
      </c>
    </row>
    <row r="39" spans="1:13" x14ac:dyDescent="0.3">
      <c r="A39" s="50">
        <f>'Aug 2021'!F39</f>
        <v>44415</v>
      </c>
      <c r="B39" s="49">
        <f>'Aug 2021'!G39</f>
        <v>11</v>
      </c>
      <c r="C39" s="51">
        <f>'Aug 2021'!H39</f>
        <v>66097339</v>
      </c>
      <c r="D39" s="51">
        <f>'Aug 2021'!I39</f>
        <v>19870000</v>
      </c>
      <c r="F39" s="50">
        <f t="shared" si="5"/>
        <v>44814</v>
      </c>
      <c r="G39" s="49">
        <f t="shared" si="5"/>
        <v>10</v>
      </c>
      <c r="H39" s="51">
        <f t="shared" si="5"/>
        <v>62630449.780000001</v>
      </c>
      <c r="I39" s="51">
        <f t="shared" si="5"/>
        <v>9521600</v>
      </c>
      <c r="J39" s="45"/>
      <c r="K39" s="49">
        <f t="shared" si="6"/>
        <v>-1</v>
      </c>
      <c r="L39" s="38">
        <f t="shared" si="6"/>
        <v>-3466889.2199999988</v>
      </c>
      <c r="M39" s="38">
        <f t="shared" ref="M39:M45" si="7">D39-I39</f>
        <v>10348400</v>
      </c>
    </row>
    <row r="40" spans="1:13" x14ac:dyDescent="0.3">
      <c r="A40" s="50">
        <f>'Aug 2021'!F40</f>
        <v>44417</v>
      </c>
      <c r="B40" s="49">
        <f>'Aug 2021'!G40</f>
        <v>10</v>
      </c>
      <c r="C40" s="51">
        <f>'Aug 2021'!H40</f>
        <v>50177567.509999998</v>
      </c>
      <c r="D40" s="51">
        <f>'Aug 2021'!I40</f>
        <v>7290000</v>
      </c>
      <c r="F40" s="50">
        <f t="shared" si="5"/>
        <v>44815</v>
      </c>
      <c r="G40" s="49">
        <f t="shared" si="5"/>
        <v>9</v>
      </c>
      <c r="H40" s="51">
        <f t="shared" si="5"/>
        <v>55518105.719999999</v>
      </c>
      <c r="I40" s="51">
        <f t="shared" si="5"/>
        <v>8557600</v>
      </c>
      <c r="J40" s="45"/>
      <c r="K40" s="49">
        <f t="shared" si="6"/>
        <v>-1</v>
      </c>
      <c r="L40" s="38">
        <f t="shared" si="6"/>
        <v>5340538.2100000009</v>
      </c>
      <c r="M40" s="38">
        <f t="shared" si="7"/>
        <v>-1267600</v>
      </c>
    </row>
    <row r="41" spans="1:13" x14ac:dyDescent="0.3">
      <c r="A41" s="50">
        <f>'Aug 2021'!F41</f>
        <v>44422</v>
      </c>
      <c r="B41" s="49">
        <f>'Aug 2021'!G41</f>
        <v>9</v>
      </c>
      <c r="C41" s="51">
        <f>'Aug 2021'!H41</f>
        <v>48775782.240000002</v>
      </c>
      <c r="D41" s="51">
        <f>'Aug 2021'!I41</f>
        <v>7360000</v>
      </c>
      <c r="F41" s="50">
        <f t="shared" si="5"/>
        <v>44821</v>
      </c>
      <c r="G41" s="49">
        <f t="shared" si="5"/>
        <v>10</v>
      </c>
      <c r="H41" s="51">
        <v>59844800.829999998</v>
      </c>
      <c r="I41" s="51">
        <f>I6</f>
        <v>8730000</v>
      </c>
      <c r="J41" s="45"/>
      <c r="K41" s="49">
        <f t="shared" si="6"/>
        <v>1</v>
      </c>
      <c r="L41" s="38">
        <f t="shared" si="6"/>
        <v>11069018.589999996</v>
      </c>
      <c r="M41" s="38">
        <f t="shared" si="7"/>
        <v>-1370000</v>
      </c>
    </row>
    <row r="42" spans="1:13" x14ac:dyDescent="0.3">
      <c r="A42" s="50">
        <f>'Aug 2021'!F42</f>
        <v>44429</v>
      </c>
      <c r="B42" s="49">
        <f>'Aug 2021'!G42</f>
        <v>10</v>
      </c>
      <c r="C42" s="51">
        <f>'Aug 2021'!H42</f>
        <v>58811054.969999999</v>
      </c>
      <c r="D42" s="51">
        <f>'Aug 2021'!I42</f>
        <v>7440000</v>
      </c>
      <c r="F42" s="50">
        <f t="shared" si="5"/>
        <v>44824</v>
      </c>
      <c r="G42" s="49">
        <f t="shared" si="5"/>
        <v>9</v>
      </c>
      <c r="H42" s="51">
        <v>57989848.700000003</v>
      </c>
      <c r="I42" s="51">
        <v>890000</v>
      </c>
      <c r="J42" s="45"/>
      <c r="K42" s="49">
        <f t="shared" si="6"/>
        <v>-1</v>
      </c>
      <c r="L42" s="38">
        <f t="shared" si="6"/>
        <v>-821206.26999999583</v>
      </c>
      <c r="M42" s="38">
        <f t="shared" si="7"/>
        <v>6550000</v>
      </c>
    </row>
    <row r="43" spans="1:13" x14ac:dyDescent="0.3">
      <c r="A43" s="50">
        <f>'Aug 2021'!F43</f>
        <v>44433</v>
      </c>
      <c r="B43" s="49">
        <f>'Aug 2021'!G43</f>
        <v>9</v>
      </c>
      <c r="C43" s="51">
        <f>'Aug 2021'!H43</f>
        <v>46169429.229999997</v>
      </c>
      <c r="D43" s="51">
        <f>'Aug 2021'!I43</f>
        <v>6650000</v>
      </c>
      <c r="F43" s="50">
        <f t="shared" si="5"/>
        <v>44828</v>
      </c>
      <c r="G43" s="49">
        <f t="shared" si="5"/>
        <v>10</v>
      </c>
      <c r="H43" s="51">
        <v>52846231</v>
      </c>
      <c r="I43" s="51">
        <v>6940000</v>
      </c>
      <c r="J43" s="45"/>
      <c r="K43" s="49">
        <f t="shared" si="6"/>
        <v>1</v>
      </c>
      <c r="L43" s="38">
        <f t="shared" si="6"/>
        <v>6676801.7700000033</v>
      </c>
      <c r="M43" s="38">
        <f t="shared" si="7"/>
        <v>-290000</v>
      </c>
    </row>
    <row r="44" spans="1:13" x14ac:dyDescent="0.3">
      <c r="A44" s="50">
        <f>'Aug 2021'!F44</f>
        <v>44436</v>
      </c>
      <c r="B44" s="49">
        <f>'Aug 2021'!G44</f>
        <v>11</v>
      </c>
      <c r="C44" s="51">
        <f>'Aug 2021'!H44</f>
        <v>58640383.229999997</v>
      </c>
      <c r="D44" s="51">
        <f>'Aug 2021'!I44</f>
        <v>8980000</v>
      </c>
      <c r="F44" s="50">
        <f t="shared" si="5"/>
        <v>44829</v>
      </c>
      <c r="G44" s="49">
        <f t="shared" si="5"/>
        <v>10</v>
      </c>
      <c r="H44" s="51">
        <v>58554546</v>
      </c>
      <c r="I44" s="51">
        <v>7680000</v>
      </c>
      <c r="J44" s="45"/>
      <c r="K44" s="49">
        <f t="shared" si="6"/>
        <v>-1</v>
      </c>
      <c r="L44" s="38">
        <f t="shared" si="6"/>
        <v>-85837.229999996722</v>
      </c>
      <c r="M44" s="38">
        <f t="shared" si="7"/>
        <v>1300000</v>
      </c>
    </row>
    <row r="45" spans="1:13" x14ac:dyDescent="0.3">
      <c r="A45" s="50"/>
      <c r="B45" s="49"/>
      <c r="C45" s="51"/>
      <c r="D45" s="51"/>
      <c r="F45" s="50">
        <f t="shared" si="5"/>
        <v>0</v>
      </c>
      <c r="G45" s="49">
        <v>10</v>
      </c>
      <c r="H45" s="51">
        <v>60523584</v>
      </c>
      <c r="I45" s="43">
        <v>8290000</v>
      </c>
      <c r="J45" s="45"/>
      <c r="K45" s="49">
        <f t="shared" si="6"/>
        <v>10</v>
      </c>
      <c r="L45" s="38">
        <f t="shared" si="6"/>
        <v>60523584</v>
      </c>
      <c r="M45" s="38">
        <f t="shared" si="7"/>
        <v>-8290000</v>
      </c>
    </row>
    <row r="46" spans="1:13" ht="15" thickBot="1" x14ac:dyDescent="0.4">
      <c r="A46" s="52" t="s">
        <v>66</v>
      </c>
      <c r="B46" s="52">
        <f>SUM(B38:B45)</f>
        <v>69</v>
      </c>
      <c r="C46" s="39">
        <f>SUM(C38:C45)</f>
        <v>379871556.18000007</v>
      </c>
      <c r="D46" s="54">
        <f>SUM(D38:D45)</f>
        <v>65940000</v>
      </c>
      <c r="F46" s="52" t="s">
        <v>66</v>
      </c>
      <c r="G46" s="52">
        <f>SUM(G38:G45)</f>
        <v>78</v>
      </c>
      <c r="H46" s="39">
        <f>SUM(H38:H45)</f>
        <v>471226778.02999997</v>
      </c>
      <c r="I46" s="39">
        <f>SUM(I38:I45)</f>
        <v>61814600</v>
      </c>
      <c r="J46" s="46"/>
      <c r="K46" s="14">
        <f>G46-B46</f>
        <v>9</v>
      </c>
      <c r="L46" s="39">
        <f>SUM(L38:L45)</f>
        <v>91355221.850000009</v>
      </c>
      <c r="M46" s="39">
        <f>SUM(M38:M45)</f>
        <v>4125400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9.8571428571428577</v>
      </c>
      <c r="C48" s="63">
        <f>SUM(C38:C45)/COUNT(C38:C45)</f>
        <v>54267365.168571435</v>
      </c>
      <c r="D48" s="63">
        <f>SUM(D38:D45)/COUNT(D38:D45)</f>
        <v>9420000</v>
      </c>
      <c r="F48" s="59"/>
      <c r="G48" s="60">
        <f>SUM(G38:G45)/COUNT(G38:G45)</f>
        <v>9.75</v>
      </c>
      <c r="H48" s="61">
        <f>SUM(H38:H45)/COUNT(H38:H45)</f>
        <v>58903347.253749996</v>
      </c>
      <c r="I48" s="61">
        <f>SUM(I38:I45)/COUNT(I38:I45)</f>
        <v>7726825</v>
      </c>
      <c r="J48" s="48"/>
      <c r="K48" s="62">
        <f>SUM(K38:K45)/COUNT(K38:K45)</f>
        <v>1.125</v>
      </c>
      <c r="L48" s="63">
        <f>SUM(L38:L45)/COUNT(L38:L45)</f>
        <v>11419402.731250001</v>
      </c>
      <c r="M48" s="63">
        <f>SUM(M38:M45)/COUNT(M38:M45)</f>
        <v>515675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44415</v>
      </c>
      <c r="B52" s="68">
        <v>7</v>
      </c>
      <c r="C52" s="74">
        <f>'Aug 2021'!H21</f>
        <v>50600458.93</v>
      </c>
      <c r="D52" s="74"/>
      <c r="F52" s="73">
        <v>44779</v>
      </c>
      <c r="G52" s="68">
        <v>6</v>
      </c>
      <c r="H52" s="74">
        <f>H16</f>
        <v>48772476.159999996</v>
      </c>
      <c r="I52" s="69"/>
      <c r="J52" s="45"/>
      <c r="K52" s="68">
        <f>G52-B52</f>
        <v>-1</v>
      </c>
      <c r="L52" s="69">
        <f>H52-C52</f>
        <v>-1827982.7700000033</v>
      </c>
      <c r="M52" s="69"/>
    </row>
    <row r="53" spans="1:13" x14ac:dyDescent="0.3">
      <c r="A53" s="73">
        <v>44422</v>
      </c>
      <c r="B53" s="68">
        <v>7</v>
      </c>
      <c r="C53" s="74">
        <f>'Aug 2021'!H22</f>
        <v>44925240.229999997</v>
      </c>
      <c r="D53" s="74"/>
      <c r="F53" s="73">
        <v>44786</v>
      </c>
      <c r="G53" s="68">
        <v>7</v>
      </c>
      <c r="H53" s="74">
        <f>H17</f>
        <v>76394598.459999993</v>
      </c>
      <c r="I53" s="69"/>
      <c r="J53" s="45"/>
      <c r="K53" s="68">
        <f t="shared" ref="K53:L57" si="8">G53-B53</f>
        <v>0</v>
      </c>
      <c r="L53" s="69">
        <f t="shared" si="8"/>
        <v>31469358.229999997</v>
      </c>
      <c r="M53" s="69"/>
    </row>
    <row r="54" spans="1:13" x14ac:dyDescent="0.3">
      <c r="A54" s="73">
        <v>44429</v>
      </c>
      <c r="B54" s="68">
        <v>7</v>
      </c>
      <c r="C54" s="74">
        <f>'Aug 2021'!H23</f>
        <v>35032249.880000003</v>
      </c>
      <c r="D54" s="74"/>
      <c r="F54" s="73">
        <v>44793</v>
      </c>
      <c r="G54" s="68">
        <v>7</v>
      </c>
      <c r="H54" s="74">
        <v>86650808.819999993</v>
      </c>
      <c r="I54" s="69"/>
      <c r="J54" s="45"/>
      <c r="K54" s="68">
        <f t="shared" si="8"/>
        <v>0</v>
      </c>
      <c r="L54" s="69">
        <f t="shared" si="8"/>
        <v>51618558.93999999</v>
      </c>
      <c r="M54" s="69"/>
    </row>
    <row r="55" spans="1:13" x14ac:dyDescent="0.3">
      <c r="A55" s="73">
        <v>44436</v>
      </c>
      <c r="B55" s="68">
        <v>7</v>
      </c>
      <c r="C55" s="74">
        <f>'Aug 2021'!H24</f>
        <v>28029421.32</v>
      </c>
      <c r="D55" s="74"/>
      <c r="F55" s="73">
        <v>44800</v>
      </c>
      <c r="G55" s="68">
        <v>7</v>
      </c>
      <c r="H55" s="74">
        <v>86108329.560000002</v>
      </c>
      <c r="I55" s="69"/>
      <c r="J55" s="45"/>
      <c r="K55" s="68">
        <f t="shared" si="8"/>
        <v>0</v>
      </c>
      <c r="L55" s="69">
        <f>H55-C55</f>
        <v>58078908.240000002</v>
      </c>
      <c r="M55" s="69"/>
    </row>
    <row r="56" spans="1:13" x14ac:dyDescent="0.3">
      <c r="A56" s="73">
        <v>44439</v>
      </c>
      <c r="B56" s="68">
        <v>3</v>
      </c>
      <c r="C56" s="74">
        <f>'Aug 2021'!H25</f>
        <v>0</v>
      </c>
      <c r="D56" s="74"/>
      <c r="F56" s="73">
        <v>44804</v>
      </c>
      <c r="G56" s="68">
        <v>4</v>
      </c>
      <c r="H56" s="113">
        <v>38597965.57</v>
      </c>
      <c r="J56" s="45"/>
      <c r="K56" s="68">
        <f t="shared" si="8"/>
        <v>1</v>
      </c>
      <c r="L56" s="69">
        <f>H56-C56</f>
        <v>38597965.57</v>
      </c>
      <c r="M56" s="69"/>
    </row>
    <row r="57" spans="1:13" x14ac:dyDescent="0.3">
      <c r="A57" s="73"/>
      <c r="B57" s="68"/>
      <c r="C57" s="74"/>
      <c r="D57" s="74"/>
      <c r="F57" s="73"/>
      <c r="G57" s="68"/>
      <c r="H57" s="74"/>
      <c r="I57" s="69"/>
      <c r="J57" s="45"/>
      <c r="K57" s="68"/>
      <c r="L57" s="69">
        <f t="shared" si="8"/>
        <v>0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31</v>
      </c>
      <c r="C59" s="70">
        <f>SUM(C52:C58)</f>
        <v>158587370.35999998</v>
      </c>
      <c r="D59" s="70"/>
      <c r="F59" s="75" t="s">
        <v>66</v>
      </c>
      <c r="G59" s="75">
        <f>SUM(G52:G58)</f>
        <v>31</v>
      </c>
      <c r="H59" s="70">
        <f>SUM(H52:H58)</f>
        <v>336524178.56999999</v>
      </c>
      <c r="I59" s="70"/>
      <c r="J59" s="46"/>
      <c r="K59" s="68">
        <f>SUM(K52:K58)</f>
        <v>0</v>
      </c>
      <c r="L59" s="70">
        <f>SUM(L52:L58)</f>
        <v>177936808.20999998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538458926.54000008</v>
      </c>
      <c r="D61" s="72"/>
      <c r="E61" s="41"/>
      <c r="F61" s="71" t="s">
        <v>67</v>
      </c>
      <c r="G61" s="71"/>
      <c r="H61" s="72">
        <f>H59+H46</f>
        <v>807750956.5999999</v>
      </c>
      <c r="I61" s="72"/>
      <c r="J61" s="46"/>
      <c r="K61" s="71"/>
      <c r="L61" s="72">
        <f>L59+L46</f>
        <v>269292030.06</v>
      </c>
      <c r="M61" s="72"/>
    </row>
    <row r="62" spans="1:13" ht="13.5" thickTop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1F43-2638-4429-9EBB-F17DA582F6AA}">
  <dimension ref="A1:I27"/>
  <sheetViews>
    <sheetView workbookViewId="0">
      <selection activeCell="G3" sqref="G3"/>
    </sheetView>
  </sheetViews>
  <sheetFormatPr defaultRowHeight="14.5" x14ac:dyDescent="0.35"/>
  <cols>
    <col min="1" max="1" width="22.7265625" bestFit="1" customWidth="1"/>
    <col min="2" max="2" width="7.453125" customWidth="1"/>
    <col min="3" max="3" width="15.90625" bestFit="1" customWidth="1"/>
    <col min="4" max="4" width="4.36328125" customWidth="1"/>
    <col min="5" max="5" width="22.81640625" bestFit="1" customWidth="1"/>
    <col min="6" max="6" width="7.54296875" customWidth="1"/>
    <col min="7" max="7" width="15.90625" bestFit="1" customWidth="1"/>
    <col min="8" max="8" width="4.90625" customWidth="1"/>
    <col min="9" max="9" width="15.81640625" bestFit="1" customWidth="1"/>
    <col min="10" max="10" width="4.54296875" customWidth="1"/>
  </cols>
  <sheetData>
    <row r="1" spans="1:9" x14ac:dyDescent="0.35">
      <c r="A1" s="33" t="s">
        <v>73</v>
      </c>
    </row>
    <row r="2" spans="1:9" s="6" customFormat="1" ht="34.5" thickBot="1" x14ac:dyDescent="0.45">
      <c r="A2" s="7" t="s">
        <v>63</v>
      </c>
      <c r="B2" s="8" t="s">
        <v>64</v>
      </c>
      <c r="C2" s="9" t="s">
        <v>65</v>
      </c>
      <c r="E2" s="7" t="s">
        <v>63</v>
      </c>
      <c r="F2" s="8" t="s">
        <v>64</v>
      </c>
      <c r="G2" s="9" t="s">
        <v>65</v>
      </c>
      <c r="I2" s="18" t="s">
        <v>68</v>
      </c>
    </row>
    <row r="3" spans="1:9" ht="15" thickTop="1" x14ac:dyDescent="0.35">
      <c r="A3" s="10">
        <v>43678</v>
      </c>
      <c r="B3" s="11">
        <v>11</v>
      </c>
      <c r="C3" s="12">
        <v>43325234.5</v>
      </c>
      <c r="E3" s="10">
        <v>44044</v>
      </c>
      <c r="F3" s="11">
        <v>10</v>
      </c>
      <c r="G3" s="12">
        <v>43671028.850000001</v>
      </c>
      <c r="H3">
        <f>F3-B3</f>
        <v>-1</v>
      </c>
      <c r="I3" s="19">
        <f>G3-C3</f>
        <v>345794.35000000149</v>
      </c>
    </row>
    <row r="4" spans="1:9" x14ac:dyDescent="0.35">
      <c r="A4" s="10">
        <v>43680</v>
      </c>
      <c r="B4" s="11">
        <v>10</v>
      </c>
      <c r="C4" s="12">
        <v>42757586.200000003</v>
      </c>
      <c r="E4" s="10">
        <v>44049</v>
      </c>
      <c r="F4" s="11">
        <v>10</v>
      </c>
      <c r="G4" s="12">
        <v>51340003.310000002</v>
      </c>
      <c r="H4">
        <f t="shared" ref="H4:H11" si="0">F4-B4</f>
        <v>0</v>
      </c>
      <c r="I4" s="19">
        <f t="shared" ref="I4:I10" si="1">G4-C4</f>
        <v>8582417.1099999994</v>
      </c>
    </row>
    <row r="5" spans="1:9" x14ac:dyDescent="0.35">
      <c r="A5" s="10">
        <v>43683</v>
      </c>
      <c r="B5" s="11">
        <v>9</v>
      </c>
      <c r="C5" s="12">
        <v>40111929.140000001</v>
      </c>
      <c r="E5" s="10">
        <v>44051</v>
      </c>
      <c r="F5" s="11">
        <v>9</v>
      </c>
      <c r="G5" s="12">
        <v>50446213</v>
      </c>
      <c r="H5">
        <f t="shared" si="0"/>
        <v>0</v>
      </c>
      <c r="I5" s="19">
        <f t="shared" si="1"/>
        <v>10334283.859999999</v>
      </c>
    </row>
    <row r="6" spans="1:9" x14ac:dyDescent="0.35">
      <c r="A6" s="10">
        <v>43687</v>
      </c>
      <c r="B6" s="11">
        <v>10</v>
      </c>
      <c r="C6" s="12">
        <v>42051747.890000001</v>
      </c>
      <c r="E6" s="10">
        <v>44058</v>
      </c>
      <c r="F6" s="11">
        <v>9</v>
      </c>
      <c r="G6" s="12">
        <v>46791815.280000001</v>
      </c>
      <c r="H6">
        <f t="shared" si="0"/>
        <v>-1</v>
      </c>
      <c r="I6" s="19">
        <f t="shared" si="1"/>
        <v>4740067.3900000006</v>
      </c>
    </row>
    <row r="7" spans="1:9" x14ac:dyDescent="0.35">
      <c r="A7" s="10">
        <v>43694</v>
      </c>
      <c r="B7" s="11">
        <v>11</v>
      </c>
      <c r="C7" s="12">
        <v>47883178.590000004</v>
      </c>
      <c r="E7" s="10">
        <v>44059</v>
      </c>
      <c r="F7" s="11">
        <v>9</v>
      </c>
      <c r="G7" s="12">
        <v>40411379.280000001</v>
      </c>
      <c r="H7">
        <f t="shared" si="0"/>
        <v>-2</v>
      </c>
      <c r="I7" s="19">
        <f t="shared" si="1"/>
        <v>-7471799.3100000024</v>
      </c>
    </row>
    <row r="8" spans="1:9" x14ac:dyDescent="0.35">
      <c r="A8" s="10">
        <v>43701</v>
      </c>
      <c r="B8" s="11">
        <v>10</v>
      </c>
      <c r="C8" s="12">
        <v>42640946.109999999</v>
      </c>
      <c r="E8" s="10">
        <v>44065</v>
      </c>
      <c r="F8" s="11">
        <v>11</v>
      </c>
      <c r="G8" s="12">
        <v>52543986.810000002</v>
      </c>
      <c r="H8">
        <f t="shared" si="0"/>
        <v>1</v>
      </c>
      <c r="I8" s="19">
        <f t="shared" si="1"/>
        <v>9903040.700000003</v>
      </c>
    </row>
    <row r="9" spans="1:9" x14ac:dyDescent="0.35">
      <c r="A9" s="10">
        <v>43707</v>
      </c>
      <c r="B9" s="11">
        <v>11</v>
      </c>
      <c r="C9" s="12">
        <v>37437116.280000001</v>
      </c>
      <c r="E9" s="10">
        <v>44072</v>
      </c>
      <c r="F9" s="11">
        <v>10</v>
      </c>
      <c r="G9" s="12">
        <v>52168127.100000001</v>
      </c>
      <c r="H9">
        <f t="shared" si="0"/>
        <v>-1</v>
      </c>
      <c r="I9" s="19">
        <f t="shared" si="1"/>
        <v>14731010.82</v>
      </c>
    </row>
    <row r="10" spans="1:9" x14ac:dyDescent="0.35">
      <c r="A10" s="10">
        <v>43708</v>
      </c>
      <c r="B10" s="11">
        <v>11</v>
      </c>
      <c r="C10" s="12">
        <v>49195798.479999997</v>
      </c>
      <c r="E10" s="10">
        <v>44073</v>
      </c>
      <c r="F10" s="11">
        <v>10</v>
      </c>
      <c r="G10" s="12">
        <v>43502818.32</v>
      </c>
      <c r="H10">
        <f t="shared" si="0"/>
        <v>-1</v>
      </c>
      <c r="I10" s="19">
        <f t="shared" si="1"/>
        <v>-5692980.1599999964</v>
      </c>
    </row>
    <row r="11" spans="1:9" ht="15" thickBot="1" x14ac:dyDescent="0.4">
      <c r="A11" s="13" t="s">
        <v>66</v>
      </c>
      <c r="B11" s="14">
        <f>SUM(B3:B10)</f>
        <v>83</v>
      </c>
      <c r="C11" s="15">
        <f>SUM(C3:C10)</f>
        <v>345403537.19000006</v>
      </c>
      <c r="E11" s="13" t="s">
        <v>66</v>
      </c>
      <c r="F11" s="14">
        <f>SUM(F3:F10)</f>
        <v>78</v>
      </c>
      <c r="G11" s="15">
        <f>SUM(G3:G10)</f>
        <v>380875371.94999999</v>
      </c>
      <c r="H11">
        <f t="shared" si="0"/>
        <v>-5</v>
      </c>
      <c r="I11" s="20">
        <f>SUM(I3:I10)</f>
        <v>35471834.760000005</v>
      </c>
    </row>
    <row r="12" spans="1:9" ht="15" thickTop="1" x14ac:dyDescent="0.35">
      <c r="A12" s="16"/>
      <c r="C12" s="17"/>
      <c r="E12" s="16"/>
      <c r="G12" s="17"/>
      <c r="I12" s="21"/>
    </row>
    <row r="13" spans="1:9" x14ac:dyDescent="0.35">
      <c r="A13" s="30" t="s">
        <v>72</v>
      </c>
      <c r="B13" s="31">
        <f>SUM(B3:B10)/COUNT(B3:B10)</f>
        <v>10.375</v>
      </c>
      <c r="C13" s="32">
        <f>SUM(C3:C10)/COUNT(C3:C10)</f>
        <v>43175442.148750007</v>
      </c>
      <c r="E13" s="30"/>
      <c r="F13" s="31">
        <f>SUM(F3:F10)/COUNT(F3:F10)</f>
        <v>9.75</v>
      </c>
      <c r="G13" s="32">
        <f>SUM(G3:G10)/COUNT(G3:G10)</f>
        <v>47609421.493749999</v>
      </c>
      <c r="H13" s="31">
        <f>SUM(H3:H10)/COUNT(H3:H10)</f>
        <v>-0.625</v>
      </c>
      <c r="I13" s="32">
        <f>SUM(I3:I10)/COUNT(I3:I10)</f>
        <v>4433979.3450000007</v>
      </c>
    </row>
    <row r="15" spans="1:9" x14ac:dyDescent="0.35">
      <c r="A15" s="33" t="s">
        <v>71</v>
      </c>
    </row>
    <row r="16" spans="1:9" ht="15" thickBot="1" x14ac:dyDescent="0.4">
      <c r="A16" s="25" t="s">
        <v>70</v>
      </c>
      <c r="B16" s="25" t="s">
        <v>69</v>
      </c>
      <c r="C16" s="25" t="s">
        <v>65</v>
      </c>
      <c r="E16" s="25" t="s">
        <v>70</v>
      </c>
      <c r="F16" s="25" t="s">
        <v>69</v>
      </c>
      <c r="G16" s="25" t="s">
        <v>65</v>
      </c>
      <c r="H16" s="25"/>
      <c r="I16" s="27" t="s">
        <v>68</v>
      </c>
    </row>
    <row r="17" spans="1:9" x14ac:dyDescent="0.35">
      <c r="A17" s="23">
        <v>43680</v>
      </c>
      <c r="B17">
        <v>3</v>
      </c>
      <c r="C17" s="22">
        <v>38510560.590000004</v>
      </c>
      <c r="E17" s="23">
        <v>44044</v>
      </c>
      <c r="F17">
        <v>1</v>
      </c>
      <c r="G17" s="22">
        <v>20212352.190000001</v>
      </c>
      <c r="H17">
        <f t="shared" ref="H17:I22" si="2">F17-B17</f>
        <v>-2</v>
      </c>
      <c r="I17" s="26">
        <f t="shared" si="2"/>
        <v>-18298208.400000002</v>
      </c>
    </row>
    <row r="18" spans="1:9" x14ac:dyDescent="0.35">
      <c r="A18" s="23">
        <v>43687</v>
      </c>
      <c r="B18">
        <v>7</v>
      </c>
      <c r="C18" s="22">
        <v>65350078.689999998</v>
      </c>
      <c r="E18" s="23">
        <v>44051</v>
      </c>
      <c r="F18">
        <v>7</v>
      </c>
      <c r="G18" s="22">
        <v>68439699.379999995</v>
      </c>
      <c r="H18">
        <f t="shared" si="2"/>
        <v>0</v>
      </c>
      <c r="I18" s="26">
        <f t="shared" si="2"/>
        <v>3089620.6899999976</v>
      </c>
    </row>
    <row r="19" spans="1:9" x14ac:dyDescent="0.35">
      <c r="A19" s="23">
        <v>43694</v>
      </c>
      <c r="B19">
        <v>7</v>
      </c>
      <c r="C19" s="22">
        <v>64046827</v>
      </c>
      <c r="E19" s="23">
        <v>44058</v>
      </c>
      <c r="F19">
        <v>7</v>
      </c>
      <c r="G19" s="22">
        <v>74099616.900000006</v>
      </c>
      <c r="H19">
        <f t="shared" si="2"/>
        <v>0</v>
      </c>
      <c r="I19" s="26">
        <f t="shared" si="2"/>
        <v>10052789.900000006</v>
      </c>
    </row>
    <row r="20" spans="1:9" x14ac:dyDescent="0.35">
      <c r="A20" s="23">
        <v>43701</v>
      </c>
      <c r="B20">
        <v>7</v>
      </c>
      <c r="C20" s="22">
        <v>71367888</v>
      </c>
      <c r="E20" s="23">
        <v>44065</v>
      </c>
      <c r="F20">
        <v>1</v>
      </c>
      <c r="G20" s="22">
        <v>73963379.549999997</v>
      </c>
      <c r="H20">
        <f t="shared" si="2"/>
        <v>-6</v>
      </c>
      <c r="I20" s="26">
        <f t="shared" si="2"/>
        <v>2595491.549999997</v>
      </c>
    </row>
    <row r="21" spans="1:9" x14ac:dyDescent="0.35">
      <c r="A21" s="23">
        <v>43708</v>
      </c>
      <c r="B21">
        <v>7</v>
      </c>
      <c r="C21" s="22">
        <v>69439760</v>
      </c>
      <c r="E21" s="23">
        <v>44072</v>
      </c>
      <c r="F21">
        <v>7</v>
      </c>
      <c r="G21" s="22">
        <v>46379420.340000004</v>
      </c>
      <c r="H21">
        <f t="shared" si="2"/>
        <v>0</v>
      </c>
      <c r="I21" s="26">
        <f t="shared" si="2"/>
        <v>-23060339.659999996</v>
      </c>
    </row>
    <row r="22" spans="1:9" x14ac:dyDescent="0.35">
      <c r="A22" s="23"/>
      <c r="C22" s="22"/>
      <c r="E22" s="23">
        <v>44074</v>
      </c>
      <c r="F22">
        <v>2</v>
      </c>
      <c r="G22" s="22">
        <v>13154321.390000001</v>
      </c>
      <c r="H22">
        <f t="shared" si="2"/>
        <v>2</v>
      </c>
      <c r="I22" s="26">
        <f t="shared" si="2"/>
        <v>13154321.390000001</v>
      </c>
    </row>
    <row r="23" spans="1:9" x14ac:dyDescent="0.35">
      <c r="A23" s="23"/>
      <c r="C23" s="22"/>
      <c r="E23" s="23"/>
      <c r="G23" s="22"/>
    </row>
    <row r="24" spans="1:9" ht="15" thickBot="1" x14ac:dyDescent="0.4">
      <c r="A24" s="4" t="s">
        <v>66</v>
      </c>
      <c r="B24" s="4">
        <f>SUM(B17:B21)</f>
        <v>31</v>
      </c>
      <c r="C24" s="24">
        <f>SUM(C17:C21)</f>
        <v>308715114.27999997</v>
      </c>
      <c r="E24" s="4" t="s">
        <v>66</v>
      </c>
      <c r="F24" s="4">
        <f>SUM(F17:F22)</f>
        <v>25</v>
      </c>
      <c r="G24" s="24">
        <f>SUM(G17:G22)</f>
        <v>296248789.75</v>
      </c>
      <c r="I24" s="24">
        <f>SUM(I17:I21)</f>
        <v>-25620645.919999998</v>
      </c>
    </row>
    <row r="25" spans="1:9" ht="15" thickTop="1" x14ac:dyDescent="0.35">
      <c r="C25" s="22"/>
    </row>
    <row r="26" spans="1:9" ht="15" thickBot="1" x14ac:dyDescent="0.4">
      <c r="A26" s="28" t="s">
        <v>67</v>
      </c>
      <c r="B26" s="28"/>
      <c r="C26" s="29">
        <f>C11+C24</f>
        <v>654118651.47000003</v>
      </c>
      <c r="D26" s="28"/>
      <c r="E26" s="28" t="s">
        <v>67</v>
      </c>
      <c r="F26" s="28"/>
      <c r="G26" s="29">
        <f>G24+G11</f>
        <v>677124161.70000005</v>
      </c>
      <c r="H26" s="28"/>
      <c r="I26" s="29">
        <f>I24+I11</f>
        <v>9851188.8400000073</v>
      </c>
    </row>
    <row r="27" spans="1:9" ht="15" thickTop="1" x14ac:dyDescent="0.35"/>
  </sheetData>
  <phoneticPr fontId="8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B62F-0EE9-451E-93B9-2869F3FE08CB}">
  <dimension ref="A1:M62"/>
  <sheetViews>
    <sheetView workbookViewId="0">
      <selection activeCell="H3" sqref="H3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6.7265625" style="35" bestFit="1" customWidth="1"/>
    <col min="7" max="7" width="5.7265625" style="35" customWidth="1"/>
    <col min="8" max="8" width="19.81640625" style="35" bestFit="1" customWidth="1"/>
    <col min="9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" thickTop="1" x14ac:dyDescent="0.35">
      <c r="A3" s="10">
        <v>44471</v>
      </c>
      <c r="B3" s="90">
        <v>9</v>
      </c>
      <c r="C3" s="51">
        <v>63128994</v>
      </c>
      <c r="D3" s="51">
        <f>1100000+900000+620000+500000+720000+1100000+870000+1150000+650000</f>
        <v>7610000</v>
      </c>
      <c r="F3" s="10">
        <v>44835</v>
      </c>
      <c r="G3" s="90">
        <v>10</v>
      </c>
      <c r="H3" s="51">
        <v>71171345</v>
      </c>
      <c r="I3" s="51">
        <v>8710000</v>
      </c>
      <c r="J3" s="45"/>
      <c r="K3" s="49">
        <f t="shared" ref="K3:L10" si="0">G3-B3</f>
        <v>1</v>
      </c>
      <c r="L3" s="38">
        <f t="shared" si="0"/>
        <v>8042351</v>
      </c>
      <c r="M3" s="38">
        <f>D3-I3</f>
        <v>-1100000</v>
      </c>
    </row>
    <row r="4" spans="1:13" ht="14.5" x14ac:dyDescent="0.35">
      <c r="A4" s="10">
        <v>44478</v>
      </c>
      <c r="B4" s="93">
        <v>10</v>
      </c>
      <c r="C4" s="51">
        <v>63785603</v>
      </c>
      <c r="D4" s="51">
        <v>7770000</v>
      </c>
      <c r="F4" s="10">
        <v>44842</v>
      </c>
      <c r="G4" s="93">
        <v>10</v>
      </c>
      <c r="H4" s="51">
        <v>63825488</v>
      </c>
      <c r="I4" s="51">
        <v>9450000</v>
      </c>
      <c r="J4" s="45"/>
      <c r="K4" s="49">
        <f t="shared" si="0"/>
        <v>0</v>
      </c>
      <c r="L4" s="38">
        <f t="shared" si="0"/>
        <v>39885</v>
      </c>
      <c r="M4" s="38">
        <f t="shared" ref="M4:M10" si="1">D4-I4</f>
        <v>-1680000</v>
      </c>
    </row>
    <row r="5" spans="1:13" ht="14.5" x14ac:dyDescent="0.35">
      <c r="A5" s="10">
        <v>44485</v>
      </c>
      <c r="B5" s="93">
        <v>10</v>
      </c>
      <c r="C5" s="51">
        <v>63049364</v>
      </c>
      <c r="D5" s="51">
        <v>7960000</v>
      </c>
      <c r="F5" s="10">
        <v>44849</v>
      </c>
      <c r="G5" s="93">
        <v>9</v>
      </c>
      <c r="H5" s="51">
        <v>65623569.939999998</v>
      </c>
      <c r="I5" s="51">
        <v>7380000</v>
      </c>
      <c r="J5" s="45"/>
      <c r="K5" s="49">
        <f t="shared" si="0"/>
        <v>-1</v>
      </c>
      <c r="L5" s="38">
        <f t="shared" si="0"/>
        <v>2574205.9399999976</v>
      </c>
      <c r="M5" s="38">
        <f t="shared" si="1"/>
        <v>580000</v>
      </c>
    </row>
    <row r="6" spans="1:13" ht="14.5" x14ac:dyDescent="0.35">
      <c r="A6" s="10">
        <v>44488</v>
      </c>
      <c r="B6" s="93">
        <v>9</v>
      </c>
      <c r="C6" s="51">
        <v>45771348.490000002</v>
      </c>
      <c r="D6" s="51">
        <v>6830000</v>
      </c>
      <c r="F6" s="10">
        <v>44850</v>
      </c>
      <c r="G6" s="93">
        <v>9</v>
      </c>
      <c r="H6" s="51">
        <v>50477108</v>
      </c>
      <c r="I6" s="51">
        <v>8406000</v>
      </c>
      <c r="J6" s="45"/>
      <c r="K6" s="49">
        <f t="shared" si="0"/>
        <v>0</v>
      </c>
      <c r="L6" s="38">
        <f t="shared" si="0"/>
        <v>4705759.5099999979</v>
      </c>
      <c r="M6" s="38">
        <f t="shared" si="1"/>
        <v>-1576000</v>
      </c>
    </row>
    <row r="7" spans="1:13" ht="14.5" x14ac:dyDescent="0.35">
      <c r="A7" s="10">
        <v>44492</v>
      </c>
      <c r="B7" s="93">
        <v>10</v>
      </c>
      <c r="C7" s="51">
        <v>56965556.270000003</v>
      </c>
      <c r="D7" s="51">
        <v>7110000</v>
      </c>
      <c r="F7" s="10">
        <v>44851</v>
      </c>
      <c r="G7" s="93">
        <v>9</v>
      </c>
      <c r="H7" s="51">
        <v>48218864.740000002</v>
      </c>
      <c r="I7" s="51">
        <v>7344700</v>
      </c>
      <c r="J7" s="45"/>
      <c r="K7" s="49">
        <f t="shared" si="0"/>
        <v>-1</v>
      </c>
      <c r="L7" s="38">
        <f t="shared" si="0"/>
        <v>-8746691.5300000012</v>
      </c>
      <c r="M7" s="38">
        <f t="shared" si="1"/>
        <v>-234700</v>
      </c>
    </row>
    <row r="8" spans="1:13" ht="14.5" x14ac:dyDescent="0.35">
      <c r="A8" s="10">
        <v>44494</v>
      </c>
      <c r="B8" s="93">
        <v>9</v>
      </c>
      <c r="C8" s="51">
        <v>50175479</v>
      </c>
      <c r="D8" s="51">
        <v>7140000</v>
      </c>
      <c r="F8" s="10">
        <v>44856</v>
      </c>
      <c r="G8" s="93">
        <v>10</v>
      </c>
      <c r="H8" s="51">
        <v>54462045.520000003</v>
      </c>
      <c r="I8" s="51">
        <v>10330000</v>
      </c>
      <c r="J8" s="45"/>
      <c r="K8" s="49">
        <f t="shared" si="0"/>
        <v>1</v>
      </c>
      <c r="L8" s="38">
        <f t="shared" si="0"/>
        <v>4286566.5200000033</v>
      </c>
      <c r="M8" s="38">
        <f t="shared" si="1"/>
        <v>-3190000</v>
      </c>
    </row>
    <row r="9" spans="1:13" ht="14.5" x14ac:dyDescent="0.35">
      <c r="A9" s="10">
        <v>44499</v>
      </c>
      <c r="B9" s="93">
        <v>10</v>
      </c>
      <c r="C9" s="51">
        <v>68694890.170000002</v>
      </c>
      <c r="D9" s="51">
        <v>10380000</v>
      </c>
      <c r="F9" s="10">
        <v>44863</v>
      </c>
      <c r="G9" s="107">
        <v>11</v>
      </c>
      <c r="H9" s="51">
        <v>64837409.710000001</v>
      </c>
      <c r="I9" s="108">
        <v>12110000</v>
      </c>
      <c r="J9" s="45"/>
      <c r="K9" s="49">
        <f t="shared" si="0"/>
        <v>1</v>
      </c>
      <c r="L9" s="38">
        <f t="shared" si="0"/>
        <v>-3857480.4600000009</v>
      </c>
      <c r="M9" s="38">
        <f t="shared" si="1"/>
        <v>-1730000</v>
      </c>
    </row>
    <row r="10" spans="1:13" ht="14.5" x14ac:dyDescent="0.35">
      <c r="A10" s="10">
        <v>44500</v>
      </c>
      <c r="B10" s="93">
        <v>9</v>
      </c>
      <c r="C10" s="51">
        <v>45989918</v>
      </c>
      <c r="D10" s="51">
        <v>6970000</v>
      </c>
      <c r="F10" s="10">
        <v>44864</v>
      </c>
      <c r="G10" s="49">
        <v>10</v>
      </c>
      <c r="H10" s="51">
        <v>59716682</v>
      </c>
      <c r="I10" s="43">
        <v>9100000</v>
      </c>
      <c r="J10" s="45"/>
      <c r="K10" s="49">
        <f t="shared" si="0"/>
        <v>1</v>
      </c>
      <c r="L10" s="38">
        <f t="shared" si="0"/>
        <v>13726764</v>
      </c>
      <c r="M10" s="38">
        <f t="shared" si="1"/>
        <v>-2130000</v>
      </c>
    </row>
    <row r="11" spans="1:13" ht="15" thickBot="1" x14ac:dyDescent="0.4">
      <c r="A11" s="52" t="s">
        <v>66</v>
      </c>
      <c r="B11" s="52">
        <f>SUM(B3:B10)</f>
        <v>76</v>
      </c>
      <c r="C11" s="39">
        <f>SUM(C3:C10)</f>
        <v>457561152.93000001</v>
      </c>
      <c r="D11" s="54">
        <f>SUM(D3:D10)</f>
        <v>61770000</v>
      </c>
      <c r="F11" s="52" t="s">
        <v>66</v>
      </c>
      <c r="G11" s="52">
        <f>SUM(G3:G10)</f>
        <v>78</v>
      </c>
      <c r="H11" s="39">
        <f>SUM(H3:H10)</f>
        <v>478332512.90999997</v>
      </c>
      <c r="I11" s="39">
        <f>SUM(I3:I10)</f>
        <v>72830700</v>
      </c>
      <c r="J11" s="46"/>
      <c r="K11" s="14">
        <f>G11-B11</f>
        <v>2</v>
      </c>
      <c r="L11" s="39">
        <f>SUM(L3:L10)</f>
        <v>20771359.979999997</v>
      </c>
      <c r="M11" s="39">
        <f>SUM(M3:M10)</f>
        <v>-11060700</v>
      </c>
    </row>
    <row r="12" spans="1:13" ht="13.5" thickTop="1" x14ac:dyDescent="0.3">
      <c r="A12" s="65" t="s">
        <v>72</v>
      </c>
      <c r="B12" s="62">
        <f>SUM(B3:B10)/COUNT(B3:B10)</f>
        <v>9.5</v>
      </c>
      <c r="C12" s="63">
        <f>SUM(C3:C10)/COUNT(C3:C10)</f>
        <v>57195144.116250001</v>
      </c>
      <c r="D12" s="63">
        <f>SUM(D3:D10)/COUNT(D3:D10)</f>
        <v>7721250</v>
      </c>
      <c r="F12" s="59"/>
      <c r="G12" s="60">
        <f>SUM(G3:G10)/COUNT(G3:G10)</f>
        <v>9.75</v>
      </c>
      <c r="H12" s="61">
        <f>SUM(H3:H10)/COUNT(H3:H10)</f>
        <v>59791564.113749996</v>
      </c>
      <c r="I12" s="61">
        <f>SUM(I3:I10)/COUNT(I3:I10)</f>
        <v>9103837.5</v>
      </c>
      <c r="J12" s="48"/>
      <c r="K12" s="62">
        <f>SUM(K3:K10)/COUNT(K3:K10)</f>
        <v>0.25</v>
      </c>
      <c r="L12" s="63">
        <f>SUM(L3:L10)/COUNT(L3:L10)</f>
        <v>2596419.9974999996</v>
      </c>
      <c r="M12" s="63">
        <f>SUM(M3:M10)/COUNT(M3:M10)</f>
        <v>-1382587.5</v>
      </c>
    </row>
    <row r="13" spans="1:13" hidden="1" x14ac:dyDescent="0.3">
      <c r="H13" s="78">
        <f>H11/G11</f>
        <v>6132468.1142307688</v>
      </c>
    </row>
    <row r="14" spans="1:13" x14ac:dyDescent="0.3">
      <c r="A14" s="34" t="s">
        <v>71</v>
      </c>
      <c r="C14" s="78">
        <f>C12/B12</f>
        <v>6020541.4859210523</v>
      </c>
      <c r="H14" s="78">
        <f>H12/G12</f>
        <v>6132468.1142307688</v>
      </c>
    </row>
    <row r="15" spans="1:13" ht="29.5" thickBot="1" x14ac:dyDescent="0.4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4.5" x14ac:dyDescent="0.35">
      <c r="A16" s="73">
        <v>44471</v>
      </c>
      <c r="B16" s="68">
        <v>2</v>
      </c>
      <c r="C16" s="74">
        <f>12028074.74+13102869.56</f>
        <v>25130944.300000001</v>
      </c>
      <c r="D16" s="74">
        <f>C16/B16</f>
        <v>12565472.15</v>
      </c>
      <c r="F16" s="10">
        <v>44835</v>
      </c>
      <c r="G16" s="68">
        <v>1</v>
      </c>
      <c r="H16" s="74">
        <v>19501252.57</v>
      </c>
      <c r="I16" s="69">
        <f>H16/G16</f>
        <v>19501252.57</v>
      </c>
      <c r="J16" s="45"/>
      <c r="K16" s="68">
        <f t="shared" ref="K16:L21" si="2">G16-B16</f>
        <v>-1</v>
      </c>
      <c r="L16" s="69">
        <f>H16-C16</f>
        <v>-5629691.7300000004</v>
      </c>
      <c r="M16" s="69"/>
    </row>
    <row r="17" spans="1:13" ht="14.5" x14ac:dyDescent="0.35">
      <c r="A17" s="73">
        <v>44478</v>
      </c>
      <c r="B17" s="68">
        <v>7</v>
      </c>
      <c r="C17" s="74">
        <v>58485217.630000003</v>
      </c>
      <c r="D17" s="74">
        <f t="shared" ref="D17:D21" si="3">C17/B17</f>
        <v>8355031.0900000008</v>
      </c>
      <c r="F17" s="10">
        <v>44842</v>
      </c>
      <c r="G17" s="68">
        <v>7</v>
      </c>
      <c r="H17" s="74">
        <f>155493058.07-H4</f>
        <v>91667570.069999993</v>
      </c>
      <c r="I17" s="69">
        <f>H17/G17</f>
        <v>13095367.152857142</v>
      </c>
      <c r="J17" s="45"/>
      <c r="K17" s="68">
        <f t="shared" si="2"/>
        <v>0</v>
      </c>
      <c r="L17" s="69">
        <f>H17-C17</f>
        <v>33182352.43999999</v>
      </c>
      <c r="M17" s="69"/>
    </row>
    <row r="18" spans="1:13" ht="14.5" x14ac:dyDescent="0.35">
      <c r="A18" s="73">
        <v>44485</v>
      </c>
      <c r="B18" s="68">
        <v>7</v>
      </c>
      <c r="C18" s="74">
        <f>44730715+14304886</f>
        <v>59035601</v>
      </c>
      <c r="D18" s="74">
        <f t="shared" si="3"/>
        <v>8433657.2857142854</v>
      </c>
      <c r="F18" s="10">
        <v>44849</v>
      </c>
      <c r="G18" s="68">
        <v>7</v>
      </c>
      <c r="H18" s="74">
        <f>83040032.05</f>
        <v>83040032.049999997</v>
      </c>
      <c r="I18" s="69">
        <f t="shared" ref="I18:I21" si="4">H18/G18</f>
        <v>11862861.721428571</v>
      </c>
      <c r="J18" s="45"/>
      <c r="K18" s="68">
        <f t="shared" si="2"/>
        <v>0</v>
      </c>
      <c r="L18" s="69">
        <f>H18-C18</f>
        <v>24004431.049999997</v>
      </c>
      <c r="M18" s="69"/>
    </row>
    <row r="19" spans="1:13" ht="14.5" x14ac:dyDescent="0.35">
      <c r="A19" s="73">
        <v>44492</v>
      </c>
      <c r="B19" s="68">
        <v>7</v>
      </c>
      <c r="C19" s="74">
        <v>50245020.43</v>
      </c>
      <c r="D19" s="74">
        <f t="shared" si="3"/>
        <v>7177860.0614285711</v>
      </c>
      <c r="F19" s="10">
        <v>44856</v>
      </c>
      <c r="G19" s="68">
        <v>7</v>
      </c>
      <c r="H19" s="74">
        <v>82740334.939999998</v>
      </c>
      <c r="I19" s="69">
        <f t="shared" si="4"/>
        <v>11820047.848571429</v>
      </c>
      <c r="J19" s="45"/>
      <c r="K19" s="68">
        <f t="shared" si="2"/>
        <v>0</v>
      </c>
      <c r="L19" s="69">
        <f t="shared" si="2"/>
        <v>32495314.509999998</v>
      </c>
      <c r="M19" s="69"/>
    </row>
    <row r="20" spans="1:13" ht="14.5" x14ac:dyDescent="0.35">
      <c r="A20" s="73">
        <v>44499</v>
      </c>
      <c r="B20" s="68">
        <v>7</v>
      </c>
      <c r="C20" s="74">
        <v>59324399.030000001</v>
      </c>
      <c r="D20" s="74">
        <f t="shared" si="3"/>
        <v>8474914.1471428573</v>
      </c>
      <c r="F20" s="10">
        <v>44863</v>
      </c>
      <c r="G20" s="68">
        <v>7</v>
      </c>
      <c r="H20" s="74">
        <v>83795404.950000003</v>
      </c>
      <c r="I20" s="69">
        <f t="shared" si="4"/>
        <v>11970772.135714287</v>
      </c>
      <c r="J20" s="45"/>
      <c r="K20" s="68">
        <f t="shared" si="2"/>
        <v>0</v>
      </c>
      <c r="L20" s="69">
        <f t="shared" si="2"/>
        <v>24471005.920000002</v>
      </c>
      <c r="M20" s="69"/>
    </row>
    <row r="21" spans="1:13" ht="14.5" x14ac:dyDescent="0.35">
      <c r="A21" s="73">
        <v>44500</v>
      </c>
      <c r="B21" s="68">
        <v>1</v>
      </c>
      <c r="C21" s="74">
        <v>12000000</v>
      </c>
      <c r="D21" s="74">
        <f t="shared" si="3"/>
        <v>12000000</v>
      </c>
      <c r="F21" s="10">
        <v>44865</v>
      </c>
      <c r="G21" s="68">
        <v>2</v>
      </c>
      <c r="H21" s="106">
        <f>14554313.68</f>
        <v>14554313.68</v>
      </c>
      <c r="I21" s="69">
        <f t="shared" si="4"/>
        <v>7277156.8399999999</v>
      </c>
      <c r="J21" s="45"/>
      <c r="K21" s="68"/>
      <c r="L21" s="69">
        <f t="shared" si="2"/>
        <v>2554313.6799999997</v>
      </c>
      <c r="M21" s="69"/>
    </row>
    <row r="22" spans="1:13" ht="14.5" hidden="1" x14ac:dyDescent="0.3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35">
      <c r="A23" s="75" t="s">
        <v>66</v>
      </c>
      <c r="B23" s="75">
        <f>SUM(B16:B21)</f>
        <v>31</v>
      </c>
      <c r="C23" s="88">
        <f>SUM(C16:C21)</f>
        <v>264221182.39000002</v>
      </c>
      <c r="D23" s="88">
        <f>C23/B23</f>
        <v>8523263.9480645172</v>
      </c>
      <c r="F23" s="75" t="s">
        <v>66</v>
      </c>
      <c r="G23" s="75">
        <f>SUM(G16:G22)</f>
        <v>31</v>
      </c>
      <c r="H23" s="70">
        <f>SUM(H16:H21)</f>
        <v>375298908.25999999</v>
      </c>
      <c r="I23" s="70">
        <f>H23/G23</f>
        <v>12106416.39548387</v>
      </c>
      <c r="J23" s="46"/>
      <c r="K23" s="68">
        <f>SUM(K16:K22)</f>
        <v>-1</v>
      </c>
      <c r="L23" s="70">
        <f>SUM(L16:L22)</f>
        <v>111077725.86999997</v>
      </c>
      <c r="M23" s="70"/>
    </row>
    <row r="24" spans="1:13" ht="8.5" customHeight="1" thickTop="1" x14ac:dyDescent="0.3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35">
      <c r="A25" s="71" t="s">
        <v>67</v>
      </c>
      <c r="B25" s="71"/>
      <c r="C25" s="72">
        <f>C11+C23</f>
        <v>721782335.32000005</v>
      </c>
      <c r="D25" s="72"/>
      <c r="E25" s="41"/>
      <c r="F25" s="71" t="s">
        <v>67</v>
      </c>
      <c r="G25" s="71"/>
      <c r="H25" s="72">
        <f>H11+H23</f>
        <v>853631421.16999996</v>
      </c>
      <c r="I25" s="72"/>
      <c r="J25" s="46"/>
      <c r="K25" s="71"/>
      <c r="L25" s="72">
        <f>L23+L11</f>
        <v>131849085.84999996</v>
      </c>
      <c r="M25" s="72"/>
    </row>
    <row r="26" spans="1:13" ht="13.5" thickTop="1" x14ac:dyDescent="0.3"/>
    <row r="28" spans="1:13" x14ac:dyDescent="0.3">
      <c r="C28" s="78"/>
    </row>
    <row r="32" spans="1:13" x14ac:dyDescent="0.3">
      <c r="C32" s="78"/>
    </row>
    <row r="33" spans="1:13" x14ac:dyDescent="0.3">
      <c r="H33" s="78"/>
      <c r="I33" s="78"/>
    </row>
    <row r="34" spans="1:13" x14ac:dyDescent="0.3">
      <c r="H34" s="78"/>
    </row>
    <row r="35" spans="1:13" x14ac:dyDescent="0.3">
      <c r="H35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f>'Aug 2021'!F38</f>
        <v>44411</v>
      </c>
      <c r="B38" s="49">
        <f>'Aug 2021'!G38</f>
        <v>9</v>
      </c>
      <c r="C38" s="51">
        <f>'Aug 2021'!H38</f>
        <v>51200000</v>
      </c>
      <c r="D38" s="51">
        <f>'Aug 2021'!I38</f>
        <v>8350000</v>
      </c>
      <c r="F38" s="50">
        <f t="shared" ref="F38:I45" si="5">F3</f>
        <v>44835</v>
      </c>
      <c r="G38" s="49">
        <f t="shared" si="5"/>
        <v>10</v>
      </c>
      <c r="H38" s="51">
        <f t="shared" si="5"/>
        <v>71171345</v>
      </c>
      <c r="I38" s="51">
        <f t="shared" si="5"/>
        <v>8710000</v>
      </c>
      <c r="J38" s="45"/>
      <c r="K38" s="49">
        <f t="shared" ref="K38:L45" si="6">G38-B38</f>
        <v>1</v>
      </c>
      <c r="L38" s="38">
        <f t="shared" si="6"/>
        <v>19971345</v>
      </c>
      <c r="M38" s="38">
        <f>D38-I38</f>
        <v>-360000</v>
      </c>
    </row>
    <row r="39" spans="1:13" x14ac:dyDescent="0.3">
      <c r="A39" s="50">
        <f>'Aug 2021'!F39</f>
        <v>44415</v>
      </c>
      <c r="B39" s="49">
        <f>'Aug 2021'!G39</f>
        <v>11</v>
      </c>
      <c r="C39" s="51">
        <f>'Aug 2021'!H39</f>
        <v>66097339</v>
      </c>
      <c r="D39" s="51">
        <f>'Aug 2021'!I39</f>
        <v>19870000</v>
      </c>
      <c r="F39" s="50">
        <f t="shared" si="5"/>
        <v>44842</v>
      </c>
      <c r="G39" s="49">
        <f t="shared" si="5"/>
        <v>10</v>
      </c>
      <c r="H39" s="51">
        <f t="shared" si="5"/>
        <v>63825488</v>
      </c>
      <c r="I39" s="51">
        <f t="shared" si="5"/>
        <v>9450000</v>
      </c>
      <c r="J39" s="45"/>
      <c r="K39" s="49">
        <f t="shared" si="6"/>
        <v>-1</v>
      </c>
      <c r="L39" s="38">
        <f t="shared" si="6"/>
        <v>-2271851</v>
      </c>
      <c r="M39" s="38">
        <f t="shared" ref="M39:M45" si="7">D39-I39</f>
        <v>10420000</v>
      </c>
    </row>
    <row r="40" spans="1:13" x14ac:dyDescent="0.3">
      <c r="A40" s="50">
        <f>'Aug 2021'!F40</f>
        <v>44417</v>
      </c>
      <c r="B40" s="49">
        <f>'Aug 2021'!G40</f>
        <v>10</v>
      </c>
      <c r="C40" s="51">
        <f>'Aug 2021'!H40</f>
        <v>50177567.509999998</v>
      </c>
      <c r="D40" s="51">
        <f>'Aug 2021'!I40</f>
        <v>7290000</v>
      </c>
      <c r="F40" s="50">
        <f t="shared" si="5"/>
        <v>44849</v>
      </c>
      <c r="G40" s="49">
        <f t="shared" si="5"/>
        <v>9</v>
      </c>
      <c r="H40" s="51">
        <f t="shared" si="5"/>
        <v>65623569.939999998</v>
      </c>
      <c r="I40" s="51">
        <f t="shared" si="5"/>
        <v>7380000</v>
      </c>
      <c r="J40" s="45"/>
      <c r="K40" s="49">
        <f t="shared" si="6"/>
        <v>-1</v>
      </c>
      <c r="L40" s="38">
        <f t="shared" si="6"/>
        <v>15446002.43</v>
      </c>
      <c r="M40" s="38">
        <f t="shared" si="7"/>
        <v>-90000</v>
      </c>
    </row>
    <row r="41" spans="1:13" x14ac:dyDescent="0.3">
      <c r="A41" s="50">
        <f>'Aug 2021'!F41</f>
        <v>44422</v>
      </c>
      <c r="B41" s="49">
        <f>'Aug 2021'!G41</f>
        <v>9</v>
      </c>
      <c r="C41" s="51">
        <f>'Aug 2021'!H41</f>
        <v>48775782.240000002</v>
      </c>
      <c r="D41" s="51">
        <f>'Aug 2021'!I41</f>
        <v>7360000</v>
      </c>
      <c r="F41" s="50">
        <f t="shared" si="5"/>
        <v>44850</v>
      </c>
      <c r="G41" s="49">
        <f t="shared" si="5"/>
        <v>9</v>
      </c>
      <c r="H41" s="51">
        <v>59844800.829999998</v>
      </c>
      <c r="I41" s="51">
        <f>I6</f>
        <v>8406000</v>
      </c>
      <c r="J41" s="45"/>
      <c r="K41" s="49">
        <f t="shared" si="6"/>
        <v>0</v>
      </c>
      <c r="L41" s="38">
        <f t="shared" si="6"/>
        <v>11069018.589999996</v>
      </c>
      <c r="M41" s="38">
        <f t="shared" si="7"/>
        <v>-1046000</v>
      </c>
    </row>
    <row r="42" spans="1:13" x14ac:dyDescent="0.3">
      <c r="A42" s="50">
        <f>'Aug 2021'!F42</f>
        <v>44429</v>
      </c>
      <c r="B42" s="49">
        <f>'Aug 2021'!G42</f>
        <v>10</v>
      </c>
      <c r="C42" s="51">
        <f>'Aug 2021'!H42</f>
        <v>58811054.969999999</v>
      </c>
      <c r="D42" s="51">
        <f>'Aug 2021'!I42</f>
        <v>7440000</v>
      </c>
      <c r="F42" s="50">
        <f t="shared" si="5"/>
        <v>44851</v>
      </c>
      <c r="G42" s="49">
        <f t="shared" si="5"/>
        <v>9</v>
      </c>
      <c r="H42" s="51">
        <v>57989848.700000003</v>
      </c>
      <c r="I42" s="51">
        <v>890000</v>
      </c>
      <c r="J42" s="45"/>
      <c r="K42" s="49">
        <f t="shared" si="6"/>
        <v>-1</v>
      </c>
      <c r="L42" s="38">
        <f t="shared" si="6"/>
        <v>-821206.26999999583</v>
      </c>
      <c r="M42" s="38">
        <f t="shared" si="7"/>
        <v>6550000</v>
      </c>
    </row>
    <row r="43" spans="1:13" x14ac:dyDescent="0.3">
      <c r="A43" s="50">
        <f>'Aug 2021'!F43</f>
        <v>44433</v>
      </c>
      <c r="B43" s="49">
        <f>'Aug 2021'!G43</f>
        <v>9</v>
      </c>
      <c r="C43" s="51">
        <f>'Aug 2021'!H43</f>
        <v>46169429.229999997</v>
      </c>
      <c r="D43" s="51">
        <f>'Aug 2021'!I43</f>
        <v>6650000</v>
      </c>
      <c r="F43" s="50">
        <f t="shared" si="5"/>
        <v>44856</v>
      </c>
      <c r="G43" s="49">
        <f t="shared" si="5"/>
        <v>10</v>
      </c>
      <c r="H43" s="51">
        <v>52846231</v>
      </c>
      <c r="I43" s="51">
        <v>6940000</v>
      </c>
      <c r="J43" s="45"/>
      <c r="K43" s="49">
        <f t="shared" si="6"/>
        <v>1</v>
      </c>
      <c r="L43" s="38">
        <f t="shared" si="6"/>
        <v>6676801.7700000033</v>
      </c>
      <c r="M43" s="38">
        <f t="shared" si="7"/>
        <v>-290000</v>
      </c>
    </row>
    <row r="44" spans="1:13" x14ac:dyDescent="0.3">
      <c r="A44" s="50">
        <f>'Aug 2021'!F44</f>
        <v>44436</v>
      </c>
      <c r="B44" s="49">
        <f>'Aug 2021'!G44</f>
        <v>11</v>
      </c>
      <c r="C44" s="51">
        <f>'Aug 2021'!H44</f>
        <v>58640383.229999997</v>
      </c>
      <c r="D44" s="51">
        <f>'Aug 2021'!I44</f>
        <v>8980000</v>
      </c>
      <c r="F44" s="50">
        <f t="shared" si="5"/>
        <v>44863</v>
      </c>
      <c r="G44" s="49">
        <f t="shared" si="5"/>
        <v>11</v>
      </c>
      <c r="H44" s="51">
        <v>58554546</v>
      </c>
      <c r="I44" s="51">
        <v>7680000</v>
      </c>
      <c r="J44" s="45"/>
      <c r="K44" s="49">
        <f t="shared" si="6"/>
        <v>0</v>
      </c>
      <c r="L44" s="38">
        <f t="shared" si="6"/>
        <v>-85837.229999996722</v>
      </c>
      <c r="M44" s="38">
        <f t="shared" si="7"/>
        <v>1300000</v>
      </c>
    </row>
    <row r="45" spans="1:13" x14ac:dyDescent="0.3">
      <c r="A45" s="50"/>
      <c r="B45" s="49"/>
      <c r="C45" s="51"/>
      <c r="D45" s="51"/>
      <c r="F45" s="50">
        <f t="shared" si="5"/>
        <v>44864</v>
      </c>
      <c r="G45" s="49">
        <v>10</v>
      </c>
      <c r="H45" s="51">
        <v>60523584</v>
      </c>
      <c r="I45" s="43">
        <v>8290000</v>
      </c>
      <c r="J45" s="45"/>
      <c r="K45" s="49">
        <f t="shared" si="6"/>
        <v>10</v>
      </c>
      <c r="L45" s="38">
        <f t="shared" si="6"/>
        <v>60523584</v>
      </c>
      <c r="M45" s="38">
        <f t="shared" si="7"/>
        <v>-8290000</v>
      </c>
    </row>
    <row r="46" spans="1:13" ht="15" thickBot="1" x14ac:dyDescent="0.4">
      <c r="A46" s="52" t="s">
        <v>66</v>
      </c>
      <c r="B46" s="52">
        <f>SUM(B38:B45)</f>
        <v>69</v>
      </c>
      <c r="C46" s="39">
        <f>SUM(C38:C45)</f>
        <v>379871556.18000007</v>
      </c>
      <c r="D46" s="54">
        <f>SUM(D38:D45)</f>
        <v>65940000</v>
      </c>
      <c r="F46" s="52" t="s">
        <v>66</v>
      </c>
      <c r="G46" s="52">
        <f>SUM(G38:G45)</f>
        <v>78</v>
      </c>
      <c r="H46" s="39">
        <f>SUM(H38:H45)</f>
        <v>490379413.46999997</v>
      </c>
      <c r="I46" s="39">
        <f>SUM(I38:I45)</f>
        <v>57746000</v>
      </c>
      <c r="J46" s="46"/>
      <c r="K46" s="14">
        <f>G46-B46</f>
        <v>9</v>
      </c>
      <c r="L46" s="39">
        <f>SUM(L38:L45)</f>
        <v>110507857.29000001</v>
      </c>
      <c r="M46" s="39">
        <f>SUM(M38:M45)</f>
        <v>8194000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9.8571428571428577</v>
      </c>
      <c r="C48" s="63">
        <f>SUM(C38:C45)/COUNT(C38:C45)</f>
        <v>54267365.168571435</v>
      </c>
      <c r="D48" s="63">
        <f>SUM(D38:D45)/COUNT(D38:D45)</f>
        <v>9420000</v>
      </c>
      <c r="F48" s="59"/>
      <c r="G48" s="60">
        <f>SUM(G38:G45)/COUNT(G38:G45)</f>
        <v>9.75</v>
      </c>
      <c r="H48" s="61">
        <f>SUM(H38:H45)/COUNT(H38:H45)</f>
        <v>61297426.683749996</v>
      </c>
      <c r="I48" s="61">
        <f>SUM(I38:I45)/COUNT(I38:I45)</f>
        <v>7218250</v>
      </c>
      <c r="J48" s="48"/>
      <c r="K48" s="62">
        <f>SUM(K38:K45)/COUNT(K38:K45)</f>
        <v>1.125</v>
      </c>
      <c r="L48" s="63">
        <f>SUM(L38:L45)/COUNT(L38:L45)</f>
        <v>13813482.161250001</v>
      </c>
      <c r="M48" s="63">
        <f>SUM(M38:M45)/COUNT(M38:M45)</f>
        <v>1024250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44415</v>
      </c>
      <c r="B52" s="68">
        <v>7</v>
      </c>
      <c r="C52" s="74">
        <f>'Aug 2021'!H21</f>
        <v>50600458.93</v>
      </c>
      <c r="D52" s="74"/>
      <c r="F52" s="73">
        <v>44779</v>
      </c>
      <c r="G52" s="68">
        <v>6</v>
      </c>
      <c r="H52" s="74">
        <f>H16</f>
        <v>19501252.57</v>
      </c>
      <c r="I52" s="69"/>
      <c r="J52" s="45"/>
      <c r="K52" s="68">
        <f>G52-B52</f>
        <v>-1</v>
      </c>
      <c r="L52" s="69">
        <f>H52-C52</f>
        <v>-31099206.359999999</v>
      </c>
      <c r="M52" s="69"/>
    </row>
    <row r="53" spans="1:13" x14ac:dyDescent="0.3">
      <c r="A53" s="73">
        <v>44422</v>
      </c>
      <c r="B53" s="68">
        <v>7</v>
      </c>
      <c r="C53" s="74">
        <f>'Aug 2021'!H22</f>
        <v>44925240.229999997</v>
      </c>
      <c r="D53" s="74"/>
      <c r="F53" s="73">
        <v>44786</v>
      </c>
      <c r="G53" s="68">
        <v>7</v>
      </c>
      <c r="H53" s="74">
        <f>H17</f>
        <v>91667570.069999993</v>
      </c>
      <c r="I53" s="69"/>
      <c r="J53" s="45"/>
      <c r="K53" s="68">
        <f t="shared" ref="K53:L57" si="8">G53-B53</f>
        <v>0</v>
      </c>
      <c r="L53" s="69">
        <f t="shared" si="8"/>
        <v>46742329.839999996</v>
      </c>
      <c r="M53" s="69"/>
    </row>
    <row r="54" spans="1:13" x14ac:dyDescent="0.3">
      <c r="A54" s="73">
        <v>44429</v>
      </c>
      <c r="B54" s="68">
        <v>7</v>
      </c>
      <c r="C54" s="74">
        <f>'Aug 2021'!H23</f>
        <v>35032249.880000003</v>
      </c>
      <c r="D54" s="74"/>
      <c r="F54" s="73">
        <v>44793</v>
      </c>
      <c r="G54" s="68">
        <v>7</v>
      </c>
      <c r="H54" s="74">
        <v>86650808.819999993</v>
      </c>
      <c r="I54" s="69"/>
      <c r="J54" s="45"/>
      <c r="K54" s="68">
        <f t="shared" si="8"/>
        <v>0</v>
      </c>
      <c r="L54" s="69">
        <f t="shared" si="8"/>
        <v>51618558.93999999</v>
      </c>
      <c r="M54" s="69"/>
    </row>
    <row r="55" spans="1:13" x14ac:dyDescent="0.3">
      <c r="A55" s="73">
        <v>44436</v>
      </c>
      <c r="B55" s="68">
        <v>7</v>
      </c>
      <c r="C55" s="74">
        <f>'Aug 2021'!H24</f>
        <v>28029421.32</v>
      </c>
      <c r="D55" s="74"/>
      <c r="F55" s="73">
        <v>44800</v>
      </c>
      <c r="G55" s="68">
        <v>7</v>
      </c>
      <c r="H55" s="74">
        <v>86108329.560000002</v>
      </c>
      <c r="I55" s="69"/>
      <c r="J55" s="45"/>
      <c r="K55" s="68">
        <f t="shared" si="8"/>
        <v>0</v>
      </c>
      <c r="L55" s="69">
        <f>H55-C55</f>
        <v>58078908.240000002</v>
      </c>
      <c r="M55" s="69"/>
    </row>
    <row r="56" spans="1:13" x14ac:dyDescent="0.3">
      <c r="A56" s="73">
        <v>44439</v>
      </c>
      <c r="B56" s="68">
        <v>3</v>
      </c>
      <c r="C56" s="74">
        <f>'Aug 2021'!H25</f>
        <v>0</v>
      </c>
      <c r="D56" s="74"/>
      <c r="F56" s="73">
        <v>44804</v>
      </c>
      <c r="G56" s="68">
        <v>4</v>
      </c>
      <c r="H56" s="113">
        <v>38597965.57</v>
      </c>
      <c r="J56" s="45"/>
      <c r="K56" s="68">
        <f t="shared" si="8"/>
        <v>1</v>
      </c>
      <c r="L56" s="69">
        <f>H56-C56</f>
        <v>38597965.57</v>
      </c>
      <c r="M56" s="69"/>
    </row>
    <row r="57" spans="1:13" x14ac:dyDescent="0.3">
      <c r="A57" s="73"/>
      <c r="B57" s="68"/>
      <c r="C57" s="74"/>
      <c r="D57" s="74"/>
      <c r="F57" s="73"/>
      <c r="G57" s="68"/>
      <c r="H57" s="74"/>
      <c r="I57" s="69"/>
      <c r="J57" s="45"/>
      <c r="K57" s="68"/>
      <c r="L57" s="69">
        <f t="shared" si="8"/>
        <v>0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31</v>
      </c>
      <c r="C59" s="70">
        <f>SUM(C52:C58)</f>
        <v>158587370.35999998</v>
      </c>
      <c r="D59" s="70"/>
      <c r="F59" s="75" t="s">
        <v>66</v>
      </c>
      <c r="G59" s="75">
        <f>SUM(G52:G58)</f>
        <v>31</v>
      </c>
      <c r="H59" s="70">
        <f>SUM(H52:H58)</f>
        <v>322525926.58999997</v>
      </c>
      <c r="I59" s="70"/>
      <c r="J59" s="46"/>
      <c r="K59" s="68">
        <f>SUM(K52:K58)</f>
        <v>0</v>
      </c>
      <c r="L59" s="70">
        <f>SUM(L52:L58)</f>
        <v>163938556.22999999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538458926.54000008</v>
      </c>
      <c r="D61" s="72"/>
      <c r="E61" s="41"/>
      <c r="F61" s="71" t="s">
        <v>67</v>
      </c>
      <c r="G61" s="71"/>
      <c r="H61" s="72">
        <f>H59+H46</f>
        <v>812905340.05999994</v>
      </c>
      <c r="I61" s="72"/>
      <c r="J61" s="46"/>
      <c r="K61" s="71"/>
      <c r="L61" s="72">
        <f>L59+L46</f>
        <v>274446413.51999998</v>
      </c>
      <c r="M61" s="72"/>
    </row>
    <row r="62" spans="1:13" ht="13.5" thickTop="1" x14ac:dyDescent="0.3"/>
  </sheetData>
  <pageMargins left="0.7" right="0.7" top="0.75" bottom="0.75" header="0.3" footer="0.3"/>
  <pageSetup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A460-7878-4669-AC5E-8AC637D7BD05}">
  <dimension ref="A1:O62"/>
  <sheetViews>
    <sheetView workbookViewId="0">
      <selection activeCell="F16" sqref="F16:I20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8" style="35" bestFit="1" customWidth="1"/>
    <col min="7" max="7" width="5.7265625" style="35" customWidth="1"/>
    <col min="8" max="8" width="19.81640625" style="35" bestFit="1" customWidth="1"/>
    <col min="9" max="9" width="14.26953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44506</v>
      </c>
      <c r="B3" s="90">
        <v>10</v>
      </c>
      <c r="C3" s="51">
        <v>59784611.780000001</v>
      </c>
      <c r="D3" s="51">
        <v>7660000</v>
      </c>
      <c r="F3" s="10">
        <v>44870</v>
      </c>
      <c r="G3" s="90">
        <v>9</v>
      </c>
      <c r="H3" s="51">
        <v>56856010.609999999</v>
      </c>
      <c r="I3" s="51">
        <v>8474000</v>
      </c>
      <c r="J3" s="45"/>
      <c r="K3" s="49">
        <f t="shared" ref="K3:L9" si="0">G3-B3</f>
        <v>-1</v>
      </c>
      <c r="L3" s="38">
        <f t="shared" si="0"/>
        <v>-2928601.1700000018</v>
      </c>
      <c r="M3" s="38">
        <f>D3-I3</f>
        <v>-814000</v>
      </c>
    </row>
    <row r="4" spans="1:15" ht="14.5" x14ac:dyDescent="0.35">
      <c r="A4" s="10">
        <v>44507</v>
      </c>
      <c r="B4" s="93">
        <v>9</v>
      </c>
      <c r="C4" s="51">
        <v>47386731.039999999</v>
      </c>
      <c r="D4" s="51">
        <v>6580000</v>
      </c>
      <c r="F4" s="10">
        <v>44871</v>
      </c>
      <c r="G4" s="93">
        <v>9</v>
      </c>
      <c r="H4" s="51">
        <v>47779723.689999998</v>
      </c>
      <c r="I4" s="51">
        <v>7140000</v>
      </c>
      <c r="J4" s="45"/>
      <c r="K4" s="49">
        <f t="shared" si="0"/>
        <v>0</v>
      </c>
      <c r="L4" s="38">
        <f t="shared" si="0"/>
        <v>392992.64999999851</v>
      </c>
      <c r="M4" s="38">
        <f t="shared" ref="M4:M9" si="1">D4-I4</f>
        <v>-560000</v>
      </c>
    </row>
    <row r="5" spans="1:15" ht="14.5" x14ac:dyDescent="0.35">
      <c r="A5" s="10">
        <v>44513</v>
      </c>
      <c r="B5" s="93">
        <v>10</v>
      </c>
      <c r="C5" s="51">
        <v>72167891</v>
      </c>
      <c r="D5" s="51">
        <v>17750000</v>
      </c>
      <c r="F5" s="10">
        <v>44877</v>
      </c>
      <c r="G5" s="93">
        <v>10</v>
      </c>
      <c r="H5" s="51">
        <v>67865837.260000005</v>
      </c>
      <c r="I5" s="51">
        <v>16810000</v>
      </c>
      <c r="J5" s="45"/>
      <c r="K5" s="49">
        <f t="shared" si="0"/>
        <v>0</v>
      </c>
      <c r="L5" s="38">
        <f t="shared" si="0"/>
        <v>-4302053.7399999946</v>
      </c>
      <c r="M5" s="38">
        <f t="shared" si="1"/>
        <v>940000</v>
      </c>
    </row>
    <row r="6" spans="1:15" ht="14.5" x14ac:dyDescent="0.35">
      <c r="A6" s="10">
        <v>44515</v>
      </c>
      <c r="B6" s="93">
        <v>9</v>
      </c>
      <c r="C6" s="51">
        <v>45968045.700000003</v>
      </c>
      <c r="D6" s="51">
        <v>6550000</v>
      </c>
      <c r="F6" s="10">
        <v>44884</v>
      </c>
      <c r="G6" s="93">
        <v>10</v>
      </c>
      <c r="H6" s="51">
        <v>63049515.119999997</v>
      </c>
      <c r="I6" s="51">
        <v>8460000</v>
      </c>
      <c r="J6" s="45"/>
      <c r="K6" s="49">
        <f t="shared" si="0"/>
        <v>1</v>
      </c>
      <c r="L6" s="38">
        <f t="shared" si="0"/>
        <v>17081469.419999994</v>
      </c>
      <c r="M6" s="38">
        <f t="shared" si="1"/>
        <v>-1910000</v>
      </c>
    </row>
    <row r="7" spans="1:15" ht="14.5" x14ac:dyDescent="0.35">
      <c r="A7" s="10">
        <v>44520</v>
      </c>
      <c r="B7" s="93">
        <v>10</v>
      </c>
      <c r="C7" s="51">
        <v>64135477</v>
      </c>
      <c r="D7" s="51">
        <v>8160000</v>
      </c>
      <c r="F7" s="10">
        <v>44885</v>
      </c>
      <c r="G7" s="93">
        <v>9</v>
      </c>
      <c r="H7" s="51">
        <v>53572841</v>
      </c>
      <c r="I7" s="51">
        <v>7800000</v>
      </c>
      <c r="J7" s="45"/>
      <c r="K7" s="49">
        <f t="shared" si="0"/>
        <v>-1</v>
      </c>
      <c r="L7" s="38">
        <f t="shared" si="0"/>
        <v>-10562636</v>
      </c>
      <c r="M7" s="38">
        <f t="shared" si="1"/>
        <v>360000</v>
      </c>
    </row>
    <row r="8" spans="1:15" ht="14.5" x14ac:dyDescent="0.35">
      <c r="A8" s="10">
        <v>44521</v>
      </c>
      <c r="B8" s="93">
        <v>9</v>
      </c>
      <c r="C8" s="51">
        <v>49666549</v>
      </c>
      <c r="D8" s="51">
        <v>6360000</v>
      </c>
      <c r="F8" s="10">
        <v>44891</v>
      </c>
      <c r="G8" s="93">
        <v>10</v>
      </c>
      <c r="H8" s="51">
        <v>60783465.32</v>
      </c>
      <c r="I8" s="51">
        <v>11710000</v>
      </c>
      <c r="J8" s="45"/>
      <c r="K8" s="49">
        <f t="shared" si="0"/>
        <v>1</v>
      </c>
      <c r="L8" s="38">
        <f t="shared" si="0"/>
        <v>11116916.32</v>
      </c>
      <c r="M8" s="38">
        <f t="shared" si="1"/>
        <v>-5350000</v>
      </c>
    </row>
    <row r="9" spans="1:15" ht="14.5" x14ac:dyDescent="0.35">
      <c r="A9" s="10">
        <v>44527</v>
      </c>
      <c r="B9" s="93">
        <v>10</v>
      </c>
      <c r="C9" s="51">
        <v>75834125</v>
      </c>
      <c r="D9" s="51">
        <v>11010000</v>
      </c>
      <c r="F9" s="115">
        <v>44892</v>
      </c>
      <c r="G9" s="116">
        <v>9</v>
      </c>
      <c r="H9" s="117"/>
      <c r="I9" s="118"/>
      <c r="J9" s="45"/>
      <c r="K9" s="49">
        <f t="shared" si="0"/>
        <v>-1</v>
      </c>
      <c r="L9" s="38">
        <f t="shared" si="0"/>
        <v>-75834125</v>
      </c>
      <c r="M9" s="38">
        <f t="shared" si="1"/>
        <v>11010000</v>
      </c>
      <c r="O9" s="35" t="s">
        <v>82</v>
      </c>
    </row>
    <row r="10" spans="1:15" ht="14.5" x14ac:dyDescent="0.35">
      <c r="A10" s="10">
        <v>44528</v>
      </c>
      <c r="B10" s="93">
        <v>10</v>
      </c>
      <c r="C10" s="51">
        <v>50989163</v>
      </c>
      <c r="D10" s="51">
        <v>7510000</v>
      </c>
      <c r="F10" s="10"/>
      <c r="G10" s="49"/>
      <c r="H10" s="51"/>
      <c r="I10" s="43"/>
      <c r="J10" s="45"/>
      <c r="K10" s="49"/>
      <c r="L10" s="38"/>
      <c r="M10" s="38"/>
    </row>
    <row r="11" spans="1:15" ht="15" thickBot="1" x14ac:dyDescent="0.4">
      <c r="A11" s="52" t="s">
        <v>66</v>
      </c>
      <c r="B11" s="52">
        <f>SUM(B3:B10)</f>
        <v>77</v>
      </c>
      <c r="C11" s="39">
        <f>SUM(C3:C10)</f>
        <v>465932593.51999998</v>
      </c>
      <c r="D11" s="54">
        <f>SUM(D3:D10)</f>
        <v>71580000</v>
      </c>
      <c r="F11" s="52" t="s">
        <v>66</v>
      </c>
      <c r="G11" s="52">
        <f>SUM(G3:G10)</f>
        <v>66</v>
      </c>
      <c r="H11" s="39">
        <f>SUM(H3:H10)</f>
        <v>349907393</v>
      </c>
      <c r="I11" s="39">
        <f>SUM(I3:I10)</f>
        <v>60394000</v>
      </c>
      <c r="J11" s="46"/>
      <c r="K11" s="14">
        <f>G11-B11</f>
        <v>-11</v>
      </c>
      <c r="L11" s="39">
        <f>SUM(L3:L10)</f>
        <v>-65036037.520000003</v>
      </c>
      <c r="M11" s="39">
        <f>SUM(M3:M10)</f>
        <v>3676000</v>
      </c>
    </row>
    <row r="12" spans="1:15" ht="13.5" thickTop="1" x14ac:dyDescent="0.3">
      <c r="A12" s="65" t="s">
        <v>72</v>
      </c>
      <c r="B12" s="62">
        <f>SUM(B3:B10)/COUNT(B3:B10)</f>
        <v>9.625</v>
      </c>
      <c r="C12" s="63">
        <f>SUM(C3:C10)/COUNT(C3:C10)</f>
        <v>58241574.189999998</v>
      </c>
      <c r="D12" s="63">
        <f>SUM(D3:D10)/COUNT(D3:D10)</f>
        <v>8947500</v>
      </c>
      <c r="F12" s="59"/>
      <c r="G12" s="60">
        <f>SUM(G3:G10)/COUNT(G3:G10)</f>
        <v>9.4285714285714288</v>
      </c>
      <c r="H12" s="61">
        <f>SUM(H3:H10)/COUNT(H3:H10)</f>
        <v>58317898.833333336</v>
      </c>
      <c r="I12" s="61">
        <f>SUM(I3:I10)/COUNT(I3:I10)</f>
        <v>10065666.666666666</v>
      </c>
      <c r="J12" s="48"/>
      <c r="K12" s="62">
        <f>SUM(K3:K10)/COUNT(K3:K10)</f>
        <v>-0.14285714285714285</v>
      </c>
      <c r="L12" s="63">
        <f>SUM(L3:L10)/COUNT(L3:L10)</f>
        <v>-9290862.5028571431</v>
      </c>
      <c r="M12" s="63">
        <f>SUM(M3:M10)/COUNT(M3:M10)</f>
        <v>525142.85714285716</v>
      </c>
    </row>
    <row r="13" spans="1:15" hidden="1" x14ac:dyDescent="0.3">
      <c r="H13" s="78">
        <f>H11/G11</f>
        <v>5301627.166666667</v>
      </c>
    </row>
    <row r="14" spans="1:15" x14ac:dyDescent="0.3">
      <c r="A14" s="34" t="s">
        <v>71</v>
      </c>
      <c r="C14" s="78">
        <f>C12/B12</f>
        <v>6051072.643116883</v>
      </c>
      <c r="H14" s="78">
        <f>H12/G12</f>
        <v>6185231.694444445</v>
      </c>
    </row>
    <row r="15" spans="1:15" ht="29.5" thickBot="1" x14ac:dyDescent="0.4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5" ht="14.5" x14ac:dyDescent="0.35">
      <c r="A16" s="73">
        <v>44506</v>
      </c>
      <c r="B16" s="68">
        <v>6</v>
      </c>
      <c r="C16" s="74">
        <v>62880944.490000002</v>
      </c>
      <c r="D16" s="74">
        <f>C16/B16</f>
        <v>10480157.415000001</v>
      </c>
      <c r="F16" s="10">
        <v>44870</v>
      </c>
      <c r="G16" s="68">
        <v>5</v>
      </c>
      <c r="H16" s="74">
        <v>66672787.009999998</v>
      </c>
      <c r="I16" s="69">
        <f>H16/G16</f>
        <v>13334557.401999999</v>
      </c>
      <c r="J16" s="45"/>
      <c r="K16" s="68">
        <f t="shared" ref="K16:L20" si="2">G16-B16</f>
        <v>-1</v>
      </c>
      <c r="L16" s="69">
        <f>H16-C16</f>
        <v>3791842.5199999958</v>
      </c>
      <c r="M16" s="69"/>
    </row>
    <row r="17" spans="1:13" ht="14.5" x14ac:dyDescent="0.35">
      <c r="A17" s="73">
        <v>44513</v>
      </c>
      <c r="B17" s="68">
        <v>7</v>
      </c>
      <c r="C17" s="74">
        <v>74675353.329999998</v>
      </c>
      <c r="D17" s="74">
        <f t="shared" ref="D17:D20" si="3">C17/B17</f>
        <v>10667907.618571429</v>
      </c>
      <c r="F17" s="10">
        <v>44877</v>
      </c>
      <c r="G17" s="68">
        <v>7</v>
      </c>
      <c r="H17" s="74">
        <v>84682074.560000002</v>
      </c>
      <c r="I17" s="69">
        <f>H17/G17</f>
        <v>12097439.222857144</v>
      </c>
      <c r="J17" s="45"/>
      <c r="K17" s="68">
        <f t="shared" si="2"/>
        <v>0</v>
      </c>
      <c r="L17" s="69">
        <f>H17-C17</f>
        <v>10006721.230000004</v>
      </c>
      <c r="M17" s="69"/>
    </row>
    <row r="18" spans="1:13" ht="14.5" x14ac:dyDescent="0.35">
      <c r="A18" s="73">
        <v>44520</v>
      </c>
      <c r="B18" s="68">
        <v>7</v>
      </c>
      <c r="C18" s="74">
        <f>56897439.5+16241942.78</f>
        <v>73139382.280000001</v>
      </c>
      <c r="D18" s="74">
        <f t="shared" si="3"/>
        <v>10448483.182857143</v>
      </c>
      <c r="F18" s="10">
        <v>44884</v>
      </c>
      <c r="G18" s="68">
        <v>7</v>
      </c>
      <c r="H18" s="74">
        <v>78594519.120000005</v>
      </c>
      <c r="I18" s="69">
        <f t="shared" ref="I18:I20" si="4">H18/G18</f>
        <v>11227788.445714286</v>
      </c>
      <c r="J18" s="45"/>
      <c r="K18" s="68">
        <f t="shared" si="2"/>
        <v>0</v>
      </c>
      <c r="L18" s="69">
        <f>H18-C18</f>
        <v>5455136.8400000036</v>
      </c>
      <c r="M18" s="69"/>
    </row>
    <row r="19" spans="1:13" ht="14.5" x14ac:dyDescent="0.35">
      <c r="A19" s="73">
        <v>44527</v>
      </c>
      <c r="B19" s="68">
        <v>7</v>
      </c>
      <c r="C19" s="51">
        <f>202894047.81-125500674.77</f>
        <v>77393373.040000007</v>
      </c>
      <c r="D19" s="74">
        <f t="shared" si="3"/>
        <v>11056196.14857143</v>
      </c>
      <c r="F19" s="10">
        <v>44891</v>
      </c>
      <c r="G19" s="68">
        <v>7</v>
      </c>
      <c r="H19" s="74">
        <v>78029054.170000002</v>
      </c>
      <c r="I19" s="69">
        <f t="shared" si="4"/>
        <v>11147007.73857143</v>
      </c>
      <c r="J19" s="45"/>
      <c r="K19" s="68">
        <f t="shared" si="2"/>
        <v>0</v>
      </c>
      <c r="L19" s="69">
        <f t="shared" si="2"/>
        <v>635681.12999999523</v>
      </c>
      <c r="M19" s="69"/>
    </row>
    <row r="20" spans="1:13" ht="14.5" x14ac:dyDescent="0.35">
      <c r="A20" s="73">
        <v>44530</v>
      </c>
      <c r="B20" s="68">
        <v>3</v>
      </c>
      <c r="C20" s="74">
        <f>14891365.59+7189066.86+7863396.68</f>
        <v>29943829.129999999</v>
      </c>
      <c r="D20" s="74">
        <f t="shared" si="3"/>
        <v>9981276.3766666669</v>
      </c>
      <c r="F20" s="10">
        <v>44895</v>
      </c>
      <c r="G20" s="68">
        <v>4</v>
      </c>
      <c r="H20" s="74">
        <v>42457057.189999998</v>
      </c>
      <c r="I20" s="69">
        <f t="shared" si="4"/>
        <v>10614264.297499999</v>
      </c>
      <c r="J20" s="45"/>
      <c r="K20" s="68">
        <f t="shared" si="2"/>
        <v>1</v>
      </c>
      <c r="L20" s="69">
        <f t="shared" si="2"/>
        <v>12513228.059999999</v>
      </c>
      <c r="M20" s="69"/>
    </row>
    <row r="21" spans="1:13" ht="14.5" x14ac:dyDescent="0.35">
      <c r="A21" s="73"/>
      <c r="B21" s="68"/>
      <c r="C21" s="74"/>
      <c r="D21" s="74"/>
      <c r="F21" s="10"/>
      <c r="G21" s="68"/>
      <c r="H21" s="106"/>
      <c r="I21" s="69"/>
      <c r="J21" s="45"/>
      <c r="K21" s="68"/>
      <c r="L21" s="69"/>
      <c r="M21" s="69"/>
    </row>
    <row r="22" spans="1:13" ht="14.5" hidden="1" x14ac:dyDescent="0.3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35">
      <c r="A23" s="75" t="s">
        <v>66</v>
      </c>
      <c r="B23" s="75">
        <f>SUM(B16:B21)</f>
        <v>30</v>
      </c>
      <c r="C23" s="88">
        <f>SUM(C16:C21)</f>
        <v>318032882.26999998</v>
      </c>
      <c r="D23" s="88">
        <f>C23/B23</f>
        <v>10601096.075666666</v>
      </c>
      <c r="F23" s="75" t="s">
        <v>66</v>
      </c>
      <c r="G23" s="75">
        <f>SUM(G16:G22)</f>
        <v>30</v>
      </c>
      <c r="H23" s="70">
        <f>SUM(H16:H21)</f>
        <v>350435492.05000001</v>
      </c>
      <c r="I23" s="70">
        <f>H23/G23</f>
        <v>11681183.068333333</v>
      </c>
      <c r="J23" s="46"/>
      <c r="K23" s="68">
        <f>SUM(K16:K22)</f>
        <v>0</v>
      </c>
      <c r="L23" s="70">
        <f>SUM(L16:L22)</f>
        <v>32402609.779999997</v>
      </c>
      <c r="M23" s="70"/>
    </row>
    <row r="24" spans="1:13" ht="8.5" customHeight="1" thickTop="1" x14ac:dyDescent="0.3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35">
      <c r="A25" s="71" t="s">
        <v>67</v>
      </c>
      <c r="B25" s="71"/>
      <c r="C25" s="72">
        <f>C11+C23</f>
        <v>783965475.78999996</v>
      </c>
      <c r="D25" s="72"/>
      <c r="E25" s="41"/>
      <c r="F25" s="71" t="s">
        <v>67</v>
      </c>
      <c r="G25" s="71"/>
      <c r="H25" s="72">
        <f>H11+H23</f>
        <v>700342885.04999995</v>
      </c>
      <c r="I25" s="72"/>
      <c r="J25" s="46"/>
      <c r="K25" s="71"/>
      <c r="L25" s="72">
        <f>L23+L11</f>
        <v>-32633427.740000006</v>
      </c>
      <c r="M25" s="72"/>
    </row>
    <row r="26" spans="1:13" ht="13.5" thickTop="1" x14ac:dyDescent="0.3"/>
    <row r="28" spans="1:13" x14ac:dyDescent="0.3">
      <c r="C28" s="78"/>
    </row>
    <row r="32" spans="1:13" x14ac:dyDescent="0.3">
      <c r="C32" s="78"/>
    </row>
    <row r="33" spans="1:13" x14ac:dyDescent="0.3">
      <c r="H33" s="78"/>
      <c r="I33" s="78"/>
    </row>
    <row r="34" spans="1:13" x14ac:dyDescent="0.3">
      <c r="H34" s="78"/>
    </row>
    <row r="35" spans="1:13" x14ac:dyDescent="0.3">
      <c r="H35" s="78"/>
    </row>
    <row r="36" spans="1:13" x14ac:dyDescent="0.3">
      <c r="A36" s="34" t="s">
        <v>73</v>
      </c>
    </row>
    <row r="37" spans="1:13" ht="30" thickBot="1" x14ac:dyDescent="0.4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3">
      <c r="A38" s="50">
        <f>'Aug 2021'!F38</f>
        <v>44411</v>
      </c>
      <c r="B38" s="49">
        <f>'Aug 2021'!G38</f>
        <v>9</v>
      </c>
      <c r="C38" s="51">
        <f>'Aug 2021'!H38</f>
        <v>51200000</v>
      </c>
      <c r="D38" s="51">
        <f>'Aug 2021'!I38</f>
        <v>8350000</v>
      </c>
      <c r="F38" s="50">
        <f t="shared" ref="F38:I45" si="5">F3</f>
        <v>44870</v>
      </c>
      <c r="G38" s="49">
        <f t="shared" si="5"/>
        <v>9</v>
      </c>
      <c r="H38" s="51">
        <f t="shared" si="5"/>
        <v>56856010.609999999</v>
      </c>
      <c r="I38" s="51">
        <f t="shared" si="5"/>
        <v>8474000</v>
      </c>
      <c r="J38" s="45"/>
      <c r="K38" s="49">
        <f t="shared" ref="K38:L45" si="6">G38-B38</f>
        <v>0</v>
      </c>
      <c r="L38" s="38">
        <f t="shared" si="6"/>
        <v>5656010.6099999994</v>
      </c>
      <c r="M38" s="38">
        <f>D38-I38</f>
        <v>-124000</v>
      </c>
    </row>
    <row r="39" spans="1:13" x14ac:dyDescent="0.3">
      <c r="A39" s="50">
        <f>'Aug 2021'!F39</f>
        <v>44415</v>
      </c>
      <c r="B39" s="49">
        <f>'Aug 2021'!G39</f>
        <v>11</v>
      </c>
      <c r="C39" s="51">
        <f>'Aug 2021'!H39</f>
        <v>66097339</v>
      </c>
      <c r="D39" s="51">
        <f>'Aug 2021'!I39</f>
        <v>19870000</v>
      </c>
      <c r="F39" s="50">
        <f t="shared" si="5"/>
        <v>44871</v>
      </c>
      <c r="G39" s="49">
        <f t="shared" si="5"/>
        <v>9</v>
      </c>
      <c r="H39" s="51">
        <f t="shared" si="5"/>
        <v>47779723.689999998</v>
      </c>
      <c r="I39" s="51">
        <f t="shared" si="5"/>
        <v>7140000</v>
      </c>
      <c r="J39" s="45"/>
      <c r="K39" s="49">
        <f t="shared" si="6"/>
        <v>-2</v>
      </c>
      <c r="L39" s="38">
        <f t="shared" si="6"/>
        <v>-18317615.310000002</v>
      </c>
      <c r="M39" s="38">
        <f t="shared" ref="M39:M45" si="7">D39-I39</f>
        <v>12730000</v>
      </c>
    </row>
    <row r="40" spans="1:13" x14ac:dyDescent="0.3">
      <c r="A40" s="50">
        <f>'Aug 2021'!F40</f>
        <v>44417</v>
      </c>
      <c r="B40" s="49">
        <f>'Aug 2021'!G40</f>
        <v>10</v>
      </c>
      <c r="C40" s="51">
        <f>'Aug 2021'!H40</f>
        <v>50177567.509999998</v>
      </c>
      <c r="D40" s="51">
        <f>'Aug 2021'!I40</f>
        <v>7290000</v>
      </c>
      <c r="F40" s="50">
        <f t="shared" si="5"/>
        <v>44877</v>
      </c>
      <c r="G40" s="49">
        <f t="shared" si="5"/>
        <v>10</v>
      </c>
      <c r="H40" s="51">
        <f t="shared" si="5"/>
        <v>67865837.260000005</v>
      </c>
      <c r="I40" s="51">
        <f t="shared" si="5"/>
        <v>16810000</v>
      </c>
      <c r="J40" s="45"/>
      <c r="K40" s="49">
        <f t="shared" si="6"/>
        <v>0</v>
      </c>
      <c r="L40" s="38">
        <f t="shared" si="6"/>
        <v>17688269.750000007</v>
      </c>
      <c r="M40" s="38">
        <f t="shared" si="7"/>
        <v>-9520000</v>
      </c>
    </row>
    <row r="41" spans="1:13" x14ac:dyDescent="0.3">
      <c r="A41" s="50">
        <f>'Aug 2021'!F41</f>
        <v>44422</v>
      </c>
      <c r="B41" s="49">
        <f>'Aug 2021'!G41</f>
        <v>9</v>
      </c>
      <c r="C41" s="51">
        <f>'Aug 2021'!H41</f>
        <v>48775782.240000002</v>
      </c>
      <c r="D41" s="51">
        <f>'Aug 2021'!I41</f>
        <v>7360000</v>
      </c>
      <c r="F41" s="50">
        <f t="shared" si="5"/>
        <v>44884</v>
      </c>
      <c r="G41" s="49">
        <f t="shared" si="5"/>
        <v>10</v>
      </c>
      <c r="H41" s="51">
        <v>59844800.829999998</v>
      </c>
      <c r="I41" s="51">
        <f>I6</f>
        <v>8460000</v>
      </c>
      <c r="J41" s="45"/>
      <c r="K41" s="49">
        <f t="shared" si="6"/>
        <v>1</v>
      </c>
      <c r="L41" s="38">
        <f t="shared" si="6"/>
        <v>11069018.589999996</v>
      </c>
      <c r="M41" s="38">
        <f t="shared" si="7"/>
        <v>-1100000</v>
      </c>
    </row>
    <row r="42" spans="1:13" x14ac:dyDescent="0.3">
      <c r="A42" s="50">
        <f>'Aug 2021'!F42</f>
        <v>44429</v>
      </c>
      <c r="B42" s="49">
        <f>'Aug 2021'!G42</f>
        <v>10</v>
      </c>
      <c r="C42" s="51">
        <f>'Aug 2021'!H42</f>
        <v>58811054.969999999</v>
      </c>
      <c r="D42" s="51">
        <f>'Aug 2021'!I42</f>
        <v>7440000</v>
      </c>
      <c r="F42" s="50">
        <f t="shared" si="5"/>
        <v>44885</v>
      </c>
      <c r="G42" s="49">
        <f t="shared" si="5"/>
        <v>9</v>
      </c>
      <c r="H42" s="51">
        <v>57989848.700000003</v>
      </c>
      <c r="I42" s="51">
        <v>890000</v>
      </c>
      <c r="J42" s="45"/>
      <c r="K42" s="49">
        <f t="shared" si="6"/>
        <v>-1</v>
      </c>
      <c r="L42" s="38">
        <f t="shared" si="6"/>
        <v>-821206.26999999583</v>
      </c>
      <c r="M42" s="38">
        <f t="shared" si="7"/>
        <v>6550000</v>
      </c>
    </row>
    <row r="43" spans="1:13" x14ac:dyDescent="0.3">
      <c r="A43" s="50">
        <f>'Aug 2021'!F43</f>
        <v>44433</v>
      </c>
      <c r="B43" s="49">
        <f>'Aug 2021'!G43</f>
        <v>9</v>
      </c>
      <c r="C43" s="51">
        <f>'Aug 2021'!H43</f>
        <v>46169429.229999997</v>
      </c>
      <c r="D43" s="51">
        <f>'Aug 2021'!I43</f>
        <v>6650000</v>
      </c>
      <c r="F43" s="50">
        <f t="shared" si="5"/>
        <v>44891</v>
      </c>
      <c r="G43" s="49">
        <f t="shared" si="5"/>
        <v>10</v>
      </c>
      <c r="H43" s="51">
        <v>52846231</v>
      </c>
      <c r="I43" s="51">
        <v>6940000</v>
      </c>
      <c r="J43" s="45"/>
      <c r="K43" s="49">
        <f t="shared" si="6"/>
        <v>1</v>
      </c>
      <c r="L43" s="38">
        <f t="shared" si="6"/>
        <v>6676801.7700000033</v>
      </c>
      <c r="M43" s="38">
        <f t="shared" si="7"/>
        <v>-290000</v>
      </c>
    </row>
    <row r="44" spans="1:13" x14ac:dyDescent="0.3">
      <c r="A44" s="50">
        <f>'Aug 2021'!F44</f>
        <v>44436</v>
      </c>
      <c r="B44" s="49">
        <f>'Aug 2021'!G44</f>
        <v>11</v>
      </c>
      <c r="C44" s="51">
        <f>'Aug 2021'!H44</f>
        <v>58640383.229999997</v>
      </c>
      <c r="D44" s="51">
        <f>'Aug 2021'!I44</f>
        <v>8980000</v>
      </c>
      <c r="F44" s="50">
        <f t="shared" si="5"/>
        <v>44892</v>
      </c>
      <c r="G44" s="49">
        <f t="shared" si="5"/>
        <v>9</v>
      </c>
      <c r="H44" s="51">
        <v>58554546</v>
      </c>
      <c r="I44" s="51">
        <v>7680000</v>
      </c>
      <c r="J44" s="45"/>
      <c r="K44" s="49">
        <f t="shared" si="6"/>
        <v>-2</v>
      </c>
      <c r="L44" s="38">
        <f t="shared" si="6"/>
        <v>-85837.229999996722</v>
      </c>
      <c r="M44" s="38">
        <f t="shared" si="7"/>
        <v>1300000</v>
      </c>
    </row>
    <row r="45" spans="1:13" x14ac:dyDescent="0.3">
      <c r="A45" s="50"/>
      <c r="B45" s="49"/>
      <c r="C45" s="51"/>
      <c r="D45" s="51"/>
      <c r="F45" s="50">
        <f t="shared" si="5"/>
        <v>0</v>
      </c>
      <c r="G45" s="49">
        <v>10</v>
      </c>
      <c r="H45" s="51">
        <v>60523584</v>
      </c>
      <c r="I45" s="43">
        <v>8290000</v>
      </c>
      <c r="J45" s="45"/>
      <c r="K45" s="49">
        <f t="shared" si="6"/>
        <v>10</v>
      </c>
      <c r="L45" s="38">
        <f t="shared" si="6"/>
        <v>60523584</v>
      </c>
      <c r="M45" s="38">
        <f t="shared" si="7"/>
        <v>-8290000</v>
      </c>
    </row>
    <row r="46" spans="1:13" ht="15" thickBot="1" x14ac:dyDescent="0.4">
      <c r="A46" s="52" t="s">
        <v>66</v>
      </c>
      <c r="B46" s="52">
        <f>SUM(B38:B45)</f>
        <v>69</v>
      </c>
      <c r="C46" s="39">
        <f>SUM(C38:C45)</f>
        <v>379871556.18000007</v>
      </c>
      <c r="D46" s="54">
        <f>SUM(D38:D45)</f>
        <v>65940000</v>
      </c>
      <c r="F46" s="52" t="s">
        <v>66</v>
      </c>
      <c r="G46" s="52">
        <f>SUM(G38:G45)</f>
        <v>76</v>
      </c>
      <c r="H46" s="39">
        <f>SUM(H38:H45)</f>
        <v>462260582.08999997</v>
      </c>
      <c r="I46" s="39">
        <f>SUM(I38:I45)</f>
        <v>64684000</v>
      </c>
      <c r="J46" s="46"/>
      <c r="K46" s="14">
        <f>G46-B46</f>
        <v>7</v>
      </c>
      <c r="L46" s="39">
        <f>SUM(L38:L45)</f>
        <v>82389025.910000011</v>
      </c>
      <c r="M46" s="39">
        <f>SUM(M38:M45)</f>
        <v>1256000</v>
      </c>
    </row>
    <row r="47" spans="1:13" ht="13.5" thickTop="1" x14ac:dyDescent="0.3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3">
      <c r="A48" s="65" t="s">
        <v>72</v>
      </c>
      <c r="B48" s="62">
        <f>SUM(B38:B45)/COUNT(B38:B45)</f>
        <v>9.8571428571428577</v>
      </c>
      <c r="C48" s="63">
        <f>SUM(C38:C45)/COUNT(C38:C45)</f>
        <v>54267365.168571435</v>
      </c>
      <c r="D48" s="63">
        <f>SUM(D38:D45)/COUNT(D38:D45)</f>
        <v>9420000</v>
      </c>
      <c r="F48" s="59"/>
      <c r="G48" s="60">
        <f>SUM(G38:G45)/COUNT(G38:G45)</f>
        <v>9.5</v>
      </c>
      <c r="H48" s="61">
        <f>SUM(H38:H45)/COUNT(H38:H45)</f>
        <v>57782572.761249997</v>
      </c>
      <c r="I48" s="61">
        <f>SUM(I38:I45)/COUNT(I38:I45)</f>
        <v>8085500</v>
      </c>
      <c r="J48" s="48"/>
      <c r="K48" s="62">
        <f>SUM(K38:K45)/COUNT(K38:K45)</f>
        <v>0.875</v>
      </c>
      <c r="L48" s="63">
        <f>SUM(L38:L45)/COUNT(L38:L45)</f>
        <v>10298628.238750001</v>
      </c>
      <c r="M48" s="63">
        <f>SUM(M38:M45)/COUNT(M38:M45)</f>
        <v>157000</v>
      </c>
    </row>
    <row r="50" spans="1:13" x14ac:dyDescent="0.3">
      <c r="A50" s="34" t="s">
        <v>71</v>
      </c>
      <c r="I50" s="78"/>
    </row>
    <row r="51" spans="1:13" ht="29.5" thickBot="1" x14ac:dyDescent="0.4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3">
      <c r="A52" s="73">
        <v>44415</v>
      </c>
      <c r="B52" s="68">
        <v>7</v>
      </c>
      <c r="C52" s="74">
        <f>'Aug 2021'!H21</f>
        <v>50600458.93</v>
      </c>
      <c r="D52" s="74"/>
      <c r="F52" s="73">
        <v>44779</v>
      </c>
      <c r="G52" s="68">
        <v>6</v>
      </c>
      <c r="H52" s="74">
        <f>H16</f>
        <v>66672787.009999998</v>
      </c>
      <c r="I52" s="69"/>
      <c r="J52" s="45"/>
      <c r="K52" s="68">
        <f>G52-B52</f>
        <v>-1</v>
      </c>
      <c r="L52" s="69">
        <f>H52-C52</f>
        <v>16072328.079999998</v>
      </c>
      <c r="M52" s="69"/>
    </row>
    <row r="53" spans="1:13" x14ac:dyDescent="0.3">
      <c r="A53" s="73">
        <v>44422</v>
      </c>
      <c r="B53" s="68">
        <v>7</v>
      </c>
      <c r="C53" s="74">
        <f>'Aug 2021'!H22</f>
        <v>44925240.229999997</v>
      </c>
      <c r="D53" s="74"/>
      <c r="F53" s="73">
        <v>44786</v>
      </c>
      <c r="G53" s="68">
        <v>7</v>
      </c>
      <c r="H53" s="74">
        <f>H17</f>
        <v>84682074.560000002</v>
      </c>
      <c r="I53" s="69"/>
      <c r="J53" s="45"/>
      <c r="K53" s="68">
        <f t="shared" ref="K53:L57" si="8">G53-B53</f>
        <v>0</v>
      </c>
      <c r="L53" s="69">
        <f t="shared" si="8"/>
        <v>39756834.330000006</v>
      </c>
      <c r="M53" s="69"/>
    </row>
    <row r="54" spans="1:13" x14ac:dyDescent="0.3">
      <c r="A54" s="73">
        <v>44429</v>
      </c>
      <c r="B54" s="68">
        <v>7</v>
      </c>
      <c r="C54" s="74">
        <f>'Aug 2021'!H23</f>
        <v>35032249.880000003</v>
      </c>
      <c r="D54" s="74"/>
      <c r="F54" s="73">
        <v>44793</v>
      </c>
      <c r="G54" s="68">
        <v>7</v>
      </c>
      <c r="H54" s="74">
        <v>86650808.819999993</v>
      </c>
      <c r="I54" s="69"/>
      <c r="J54" s="45"/>
      <c r="K54" s="68">
        <f t="shared" si="8"/>
        <v>0</v>
      </c>
      <c r="L54" s="69">
        <f t="shared" si="8"/>
        <v>51618558.93999999</v>
      </c>
      <c r="M54" s="69"/>
    </row>
    <row r="55" spans="1:13" x14ac:dyDescent="0.3">
      <c r="A55" s="73">
        <v>44436</v>
      </c>
      <c r="B55" s="68">
        <v>7</v>
      </c>
      <c r="C55" s="74">
        <f>'Aug 2021'!H24</f>
        <v>28029421.32</v>
      </c>
      <c r="D55" s="74"/>
      <c r="F55" s="73">
        <v>44800</v>
      </c>
      <c r="G55" s="68">
        <v>7</v>
      </c>
      <c r="H55" s="74">
        <v>86108329.560000002</v>
      </c>
      <c r="I55" s="69"/>
      <c r="J55" s="45"/>
      <c r="K55" s="68">
        <f t="shared" si="8"/>
        <v>0</v>
      </c>
      <c r="L55" s="69">
        <f>H55-C55</f>
        <v>58078908.240000002</v>
      </c>
      <c r="M55" s="69"/>
    </row>
    <row r="56" spans="1:13" x14ac:dyDescent="0.3">
      <c r="A56" s="73">
        <v>44439</v>
      </c>
      <c r="B56" s="68">
        <v>3</v>
      </c>
      <c r="C56" s="74">
        <f>'Aug 2021'!H25</f>
        <v>0</v>
      </c>
      <c r="D56" s="74"/>
      <c r="F56" s="73">
        <v>44804</v>
      </c>
      <c r="G56" s="68">
        <v>4</v>
      </c>
      <c r="H56" s="113">
        <v>38597965.57</v>
      </c>
      <c r="J56" s="45"/>
      <c r="K56" s="68">
        <f t="shared" si="8"/>
        <v>1</v>
      </c>
      <c r="L56" s="69">
        <f>H56-C56</f>
        <v>38597965.57</v>
      </c>
      <c r="M56" s="69"/>
    </row>
    <row r="57" spans="1:13" x14ac:dyDescent="0.3">
      <c r="A57" s="73"/>
      <c r="B57" s="68"/>
      <c r="C57" s="74"/>
      <c r="D57" s="74"/>
      <c r="F57" s="73"/>
      <c r="G57" s="68"/>
      <c r="H57" s="74"/>
      <c r="I57" s="69"/>
      <c r="J57" s="45"/>
      <c r="K57" s="68"/>
      <c r="L57" s="69">
        <f t="shared" si="8"/>
        <v>0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35">
      <c r="A59" s="75" t="s">
        <v>66</v>
      </c>
      <c r="B59" s="75">
        <f>SUM(B52:B58)</f>
        <v>31</v>
      </c>
      <c r="C59" s="70">
        <f>SUM(C52:C58)</f>
        <v>158587370.35999998</v>
      </c>
      <c r="D59" s="70"/>
      <c r="F59" s="75" t="s">
        <v>66</v>
      </c>
      <c r="G59" s="75">
        <f>SUM(G52:G58)</f>
        <v>31</v>
      </c>
      <c r="H59" s="70">
        <f>SUM(H52:H58)</f>
        <v>362711965.51999998</v>
      </c>
      <c r="I59" s="70"/>
      <c r="J59" s="46"/>
      <c r="K59" s="68">
        <f>SUM(K52:K58)</f>
        <v>0</v>
      </c>
      <c r="L59" s="70">
        <f>SUM(L52:L58)</f>
        <v>204124595.16</v>
      </c>
      <c r="M59" s="70"/>
    </row>
    <row r="60" spans="1:13" ht="13.5" thickTop="1" x14ac:dyDescent="0.3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35">
      <c r="A61" s="71" t="s">
        <v>67</v>
      </c>
      <c r="B61" s="71"/>
      <c r="C61" s="72">
        <f>C46+C59</f>
        <v>538458926.54000008</v>
      </c>
      <c r="D61" s="72"/>
      <c r="E61" s="41"/>
      <c r="F61" s="71" t="s">
        <v>67</v>
      </c>
      <c r="G61" s="71"/>
      <c r="H61" s="72">
        <f>H59+H46</f>
        <v>824972547.6099999</v>
      </c>
      <c r="I61" s="72"/>
      <c r="J61" s="46"/>
      <c r="K61" s="71"/>
      <c r="L61" s="72">
        <f>L59+L46</f>
        <v>286513621.06999999</v>
      </c>
      <c r="M61" s="72"/>
    </row>
    <row r="62" spans="1:13" ht="13.5" thickTop="1" x14ac:dyDescent="0.3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6363-C783-418B-82ED-77C71E347AFE}">
  <dimension ref="A1:O63"/>
  <sheetViews>
    <sheetView topLeftCell="A2" workbookViewId="0">
      <selection activeCell="F17" sqref="F17:H22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8" style="35" bestFit="1" customWidth="1"/>
    <col min="7" max="7" width="5.7265625" style="35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44534</v>
      </c>
      <c r="B3" s="90">
        <v>10</v>
      </c>
      <c r="C3" s="51">
        <v>63667355</v>
      </c>
      <c r="D3" s="51">
        <v>8300000</v>
      </c>
      <c r="F3" s="10">
        <v>44898</v>
      </c>
      <c r="G3" s="90">
        <v>11</v>
      </c>
      <c r="H3" s="119">
        <v>89129785.760000005</v>
      </c>
      <c r="I3" s="51">
        <v>31100000</v>
      </c>
      <c r="J3" s="45"/>
      <c r="K3" s="49">
        <f t="shared" ref="K3:L10" si="0">G3-B3</f>
        <v>1</v>
      </c>
      <c r="L3" s="38">
        <f t="shared" si="0"/>
        <v>25462430.760000005</v>
      </c>
      <c r="M3" s="38">
        <f>D3-I3</f>
        <v>-22800000</v>
      </c>
    </row>
    <row r="4" spans="1:15" ht="14.5" x14ac:dyDescent="0.35">
      <c r="A4" s="10">
        <v>44541</v>
      </c>
      <c r="B4" s="93">
        <v>11</v>
      </c>
      <c r="C4" s="51">
        <v>68304853.780000001</v>
      </c>
      <c r="D4" s="51">
        <v>9460000</v>
      </c>
      <c r="F4" s="10">
        <v>44905</v>
      </c>
      <c r="G4" s="93">
        <v>10</v>
      </c>
      <c r="H4" s="51">
        <v>63920904.399999999</v>
      </c>
      <c r="I4" s="51">
        <v>8860000</v>
      </c>
      <c r="J4" s="45"/>
      <c r="K4" s="49">
        <f t="shared" si="0"/>
        <v>-1</v>
      </c>
      <c r="L4" s="38">
        <f t="shared" si="0"/>
        <v>-4383949.3800000027</v>
      </c>
      <c r="M4" s="38">
        <f t="shared" ref="M4:M11" si="1">D4-I4</f>
        <v>600000</v>
      </c>
    </row>
    <row r="5" spans="1:15" ht="14.5" x14ac:dyDescent="0.35">
      <c r="A5" s="10">
        <v>44542</v>
      </c>
      <c r="B5" s="93">
        <v>10</v>
      </c>
      <c r="C5" s="51">
        <v>52004030</v>
      </c>
      <c r="D5" s="51">
        <v>8170000</v>
      </c>
      <c r="F5" s="10">
        <v>44906</v>
      </c>
      <c r="G5" s="93">
        <v>9</v>
      </c>
      <c r="H5" s="51">
        <v>54303607.119999997</v>
      </c>
      <c r="I5" s="51">
        <v>7980000</v>
      </c>
      <c r="J5" s="45"/>
      <c r="K5" s="49">
        <f t="shared" si="0"/>
        <v>-1</v>
      </c>
      <c r="L5" s="38">
        <f t="shared" si="0"/>
        <v>2299577.1199999973</v>
      </c>
      <c r="M5" s="38">
        <f t="shared" si="1"/>
        <v>190000</v>
      </c>
    </row>
    <row r="6" spans="1:15" ht="14.5" x14ac:dyDescent="0.35">
      <c r="A6" s="10">
        <v>44548</v>
      </c>
      <c r="B6" s="93">
        <v>11</v>
      </c>
      <c r="C6" s="51">
        <v>73578579.939999998</v>
      </c>
      <c r="D6" s="51">
        <v>8820000</v>
      </c>
      <c r="F6" s="10">
        <v>44912</v>
      </c>
      <c r="G6" s="93">
        <v>10</v>
      </c>
      <c r="H6" s="51">
        <v>61356987.960000001</v>
      </c>
      <c r="I6" s="51">
        <v>8500000</v>
      </c>
      <c r="J6" s="45"/>
      <c r="K6" s="49">
        <f t="shared" si="0"/>
        <v>-1</v>
      </c>
      <c r="L6" s="38">
        <f t="shared" si="0"/>
        <v>-12221591.979999997</v>
      </c>
      <c r="M6" s="38">
        <f t="shared" si="1"/>
        <v>320000</v>
      </c>
    </row>
    <row r="7" spans="1:15" ht="14.5" x14ac:dyDescent="0.35">
      <c r="A7" s="10">
        <v>44549</v>
      </c>
      <c r="B7" s="93">
        <v>9</v>
      </c>
      <c r="C7" s="51">
        <v>45073683</v>
      </c>
      <c r="D7" s="51">
        <v>7070000</v>
      </c>
      <c r="F7" s="10">
        <v>44913</v>
      </c>
      <c r="G7" s="93">
        <v>9</v>
      </c>
      <c r="H7" s="51">
        <v>46322224.189999998</v>
      </c>
      <c r="I7" s="51">
        <v>8350000</v>
      </c>
      <c r="J7" s="45"/>
      <c r="K7" s="49">
        <f t="shared" si="0"/>
        <v>0</v>
      </c>
      <c r="L7" s="38">
        <f t="shared" si="0"/>
        <v>1248541.1899999976</v>
      </c>
      <c r="M7" s="38">
        <f t="shared" si="1"/>
        <v>-1280000</v>
      </c>
    </row>
    <row r="8" spans="1:15" ht="14.5" x14ac:dyDescent="0.35">
      <c r="A8" s="10">
        <v>44553</v>
      </c>
      <c r="B8" s="93">
        <v>9</v>
      </c>
      <c r="C8" s="108">
        <v>50532356.68</v>
      </c>
      <c r="D8" s="51">
        <v>6275000</v>
      </c>
      <c r="F8" s="10">
        <v>44919</v>
      </c>
      <c r="G8" s="93">
        <v>9</v>
      </c>
      <c r="H8" s="51">
        <v>65251239.789999999</v>
      </c>
      <c r="I8" s="51">
        <v>7660000</v>
      </c>
      <c r="J8" s="45"/>
      <c r="K8" s="49">
        <f t="shared" si="0"/>
        <v>0</v>
      </c>
      <c r="L8" s="38">
        <f t="shared" si="0"/>
        <v>14718883.109999999</v>
      </c>
      <c r="M8" s="38">
        <f t="shared" si="1"/>
        <v>-1385000</v>
      </c>
    </row>
    <row r="9" spans="1:15" ht="14.5" x14ac:dyDescent="0.35">
      <c r="A9" s="10">
        <v>44556</v>
      </c>
      <c r="B9" s="107">
        <v>11</v>
      </c>
      <c r="C9" s="108">
        <v>71625920.659999996</v>
      </c>
      <c r="D9" s="108">
        <v>11920000</v>
      </c>
      <c r="F9" s="10">
        <v>44921</v>
      </c>
      <c r="G9" s="107">
        <v>9</v>
      </c>
      <c r="H9" s="51">
        <v>67809183.090000004</v>
      </c>
      <c r="I9" s="108">
        <v>8750000</v>
      </c>
      <c r="J9" s="45"/>
      <c r="K9" s="49">
        <f t="shared" si="0"/>
        <v>-2</v>
      </c>
      <c r="L9" s="38">
        <f t="shared" si="0"/>
        <v>-3816737.5699999928</v>
      </c>
      <c r="M9" s="38">
        <f t="shared" si="1"/>
        <v>3170000</v>
      </c>
      <c r="O9" s="35" t="s">
        <v>82</v>
      </c>
    </row>
    <row r="10" spans="1:15" ht="14.5" x14ac:dyDescent="0.35">
      <c r="A10" s="10">
        <v>44557</v>
      </c>
      <c r="B10" s="93">
        <v>11</v>
      </c>
      <c r="C10" s="108">
        <v>62979445.609999999</v>
      </c>
      <c r="D10" s="51">
        <v>12980000</v>
      </c>
      <c r="F10" s="10">
        <v>44922</v>
      </c>
      <c r="G10" s="49">
        <v>9</v>
      </c>
      <c r="H10" s="51">
        <v>64905176.43</v>
      </c>
      <c r="I10" s="43">
        <f>770000+680000+730000+720000+990000+1020000+840000+4000000+1140000</f>
        <v>10890000</v>
      </c>
      <c r="J10" s="45"/>
      <c r="K10" s="49">
        <f t="shared" si="0"/>
        <v>-2</v>
      </c>
      <c r="L10" s="38">
        <f t="shared" si="0"/>
        <v>1925730.8200000003</v>
      </c>
      <c r="M10" s="38">
        <f t="shared" si="1"/>
        <v>2090000</v>
      </c>
    </row>
    <row r="11" spans="1:15" ht="14.5" x14ac:dyDescent="0.35">
      <c r="A11" s="10"/>
      <c r="B11" s="93"/>
      <c r="C11" s="108"/>
      <c r="D11" s="120"/>
      <c r="F11" s="10">
        <v>44926</v>
      </c>
      <c r="G11" s="49"/>
      <c r="H11" s="51"/>
      <c r="I11" s="38"/>
      <c r="J11" s="45"/>
      <c r="K11" s="121"/>
      <c r="L11" s="38"/>
      <c r="M11" s="38">
        <f t="shared" si="1"/>
        <v>0</v>
      </c>
    </row>
    <row r="12" spans="1:15" ht="15" thickBot="1" x14ac:dyDescent="0.4">
      <c r="A12" s="52" t="s">
        <v>66</v>
      </c>
      <c r="B12" s="52">
        <f>SUM(B3:B10)</f>
        <v>82</v>
      </c>
      <c r="C12" s="39">
        <f>SUM(C3:C10)</f>
        <v>487766224.67000008</v>
      </c>
      <c r="D12" s="54">
        <f>SUM(D3:D10)</f>
        <v>72995000</v>
      </c>
      <c r="F12" s="52" t="s">
        <v>66</v>
      </c>
      <c r="G12" s="52">
        <f>SUM(G3:G11)</f>
        <v>76</v>
      </c>
      <c r="H12" s="39">
        <f>SUM(H3:H11)</f>
        <v>512999108.74000007</v>
      </c>
      <c r="I12" s="39">
        <f>SUM(I3:I11)</f>
        <v>92090000</v>
      </c>
      <c r="J12" s="46"/>
      <c r="K12" s="14">
        <f>G12-B12</f>
        <v>-6</v>
      </c>
      <c r="L12" s="39">
        <f>SUM(L3:L11)</f>
        <v>25232884.070000008</v>
      </c>
      <c r="M12" s="39">
        <f>SUM(M3:M11)</f>
        <v>-19095000</v>
      </c>
    </row>
    <row r="13" spans="1:15" ht="13.5" thickTop="1" x14ac:dyDescent="0.3">
      <c r="A13" s="65" t="s">
        <v>72</v>
      </c>
      <c r="B13" s="62">
        <f>SUM(B3:B10)/COUNT(B3:B10)</f>
        <v>10.25</v>
      </c>
      <c r="C13" s="63">
        <f>SUM(C3:C10)/COUNT(C3:C10)</f>
        <v>60970778.08375001</v>
      </c>
      <c r="D13" s="63">
        <f>SUM(D3:D10)/COUNT(D3:D10)</f>
        <v>9124375</v>
      </c>
      <c r="F13" s="59"/>
      <c r="G13" s="60">
        <f>SUM(G3:G11)/COUNT(G3:G10)</f>
        <v>9.5</v>
      </c>
      <c r="H13" s="61">
        <f>SUM(H3:H11)/COUNT(H3:H11)</f>
        <v>64124888.592500009</v>
      </c>
      <c r="I13" s="61">
        <f>SUM(I3:I11)/COUNT(I3:I11)</f>
        <v>11511250</v>
      </c>
      <c r="J13" s="48"/>
      <c r="K13" s="62">
        <f>SUM(K3:K11)/COUNT(K3:K10)</f>
        <v>-0.75</v>
      </c>
      <c r="L13" s="63">
        <f>SUM(L3:L11)/COUNT(L3:L10)</f>
        <v>3154110.508750001</v>
      </c>
      <c r="M13" s="63">
        <f>SUM(M3:M11)/COUNT(M3:M10)</f>
        <v>-2386875</v>
      </c>
    </row>
    <row r="14" spans="1:15" hidden="1" x14ac:dyDescent="0.3">
      <c r="H14" s="78">
        <f>H12/G12</f>
        <v>6749988.2728947373</v>
      </c>
    </row>
    <row r="15" spans="1:15" x14ac:dyDescent="0.3">
      <c r="A15" s="34" t="s">
        <v>71</v>
      </c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3" ht="14.5" x14ac:dyDescent="0.35">
      <c r="A17" s="73">
        <v>44534</v>
      </c>
      <c r="B17" s="68">
        <v>4</v>
      </c>
      <c r="C17" s="74">
        <v>56497548.600000001</v>
      </c>
      <c r="D17" s="74">
        <f>C17/B17</f>
        <v>14124387.15</v>
      </c>
      <c r="F17" s="10">
        <v>44898</v>
      </c>
      <c r="G17" s="68">
        <v>3</v>
      </c>
      <c r="H17" s="74">
        <f>25830114.52+16593805.04</f>
        <v>42423919.560000002</v>
      </c>
      <c r="I17" s="69">
        <f>H17/G17</f>
        <v>14141306.520000001</v>
      </c>
      <c r="J17" s="45"/>
      <c r="K17" s="68">
        <f t="shared" ref="K17:L21" si="2">G17-B17</f>
        <v>-1</v>
      </c>
      <c r="L17" s="69">
        <f>H17-C17</f>
        <v>-14073629.039999999</v>
      </c>
      <c r="M17" s="69"/>
    </row>
    <row r="18" spans="1:13" ht="14.5" x14ac:dyDescent="0.35">
      <c r="A18" s="73">
        <v>44541</v>
      </c>
      <c r="B18" s="68">
        <v>7</v>
      </c>
      <c r="C18" s="74">
        <f>80149757.53</f>
        <v>80149757.530000001</v>
      </c>
      <c r="D18" s="74">
        <f t="shared" ref="D18:D21" si="3">C18/B18</f>
        <v>11449965.361428572</v>
      </c>
      <c r="F18" s="10">
        <v>44905</v>
      </c>
      <c r="G18" s="68">
        <v>7</v>
      </c>
      <c r="H18" s="74">
        <v>75950764.769999996</v>
      </c>
      <c r="I18" s="69">
        <f t="shared" ref="I18:I21" si="4">H18/G18</f>
        <v>10850109.252857143</v>
      </c>
      <c r="J18" s="45"/>
      <c r="K18" s="68">
        <f t="shared" si="2"/>
        <v>0</v>
      </c>
      <c r="L18" s="69">
        <f>H18-C18</f>
        <v>-4198992.7600000054</v>
      </c>
      <c r="M18" s="69"/>
    </row>
    <row r="19" spans="1:13" ht="14.5" x14ac:dyDescent="0.35">
      <c r="A19" s="73">
        <v>44548</v>
      </c>
      <c r="B19" s="68">
        <v>7</v>
      </c>
      <c r="C19" s="74">
        <v>84062330.390000001</v>
      </c>
      <c r="D19" s="74">
        <f t="shared" si="3"/>
        <v>12008904.341428572</v>
      </c>
      <c r="F19" s="10">
        <v>44912</v>
      </c>
      <c r="G19" s="68">
        <v>7</v>
      </c>
      <c r="H19" s="74">
        <v>80669292.709999993</v>
      </c>
      <c r="I19" s="69">
        <f t="shared" si="4"/>
        <v>11524184.672857141</v>
      </c>
      <c r="J19" s="45"/>
      <c r="K19" s="68">
        <f t="shared" si="2"/>
        <v>0</v>
      </c>
      <c r="L19" s="69">
        <f>H19-C19</f>
        <v>-3393037.6800000072</v>
      </c>
      <c r="M19" s="69"/>
    </row>
    <row r="20" spans="1:13" ht="14.5" x14ac:dyDescent="0.35">
      <c r="A20" s="73">
        <v>44555</v>
      </c>
      <c r="B20" s="68">
        <v>6</v>
      </c>
      <c r="C20" s="51">
        <v>55543074.780000001</v>
      </c>
      <c r="D20" s="74">
        <f t="shared" si="3"/>
        <v>9257179.1300000008</v>
      </c>
      <c r="F20" s="10">
        <v>44919</v>
      </c>
      <c r="G20" s="68">
        <v>7</v>
      </c>
      <c r="H20" s="74">
        <f>54891132.82+10203816.37</f>
        <v>65094949.189999998</v>
      </c>
      <c r="I20" s="69">
        <f t="shared" si="4"/>
        <v>9299278.4557142854</v>
      </c>
      <c r="J20" s="45"/>
      <c r="K20" s="68">
        <f t="shared" si="2"/>
        <v>1</v>
      </c>
      <c r="L20" s="69">
        <f t="shared" si="2"/>
        <v>9551874.4099999964</v>
      </c>
      <c r="M20" s="69"/>
    </row>
    <row r="21" spans="1:13" ht="14.5" x14ac:dyDescent="0.35">
      <c r="A21" s="73">
        <v>44561</v>
      </c>
      <c r="B21" s="68">
        <v>6</v>
      </c>
      <c r="C21" s="74">
        <f>39487162.93</f>
        <v>39487162.93</v>
      </c>
      <c r="D21" s="74">
        <f t="shared" si="3"/>
        <v>6581193.8216666663</v>
      </c>
      <c r="F21" s="10">
        <v>44926</v>
      </c>
      <c r="G21" s="68">
        <v>6</v>
      </c>
      <c r="H21" s="74"/>
      <c r="I21" s="69">
        <f t="shared" si="4"/>
        <v>0</v>
      </c>
      <c r="J21" s="45"/>
      <c r="K21" s="68">
        <f t="shared" si="2"/>
        <v>0</v>
      </c>
      <c r="L21" s="69">
        <f t="shared" si="2"/>
        <v>-39487162.93</v>
      </c>
      <c r="M21" s="69"/>
    </row>
    <row r="22" spans="1:13" ht="14.5" x14ac:dyDescent="0.35">
      <c r="A22" s="73"/>
      <c r="B22" s="68"/>
      <c r="C22" s="74"/>
      <c r="D22" s="74"/>
      <c r="F22" s="10"/>
      <c r="G22" s="68"/>
      <c r="H22" s="106"/>
      <c r="I22" s="69"/>
      <c r="J22" s="45"/>
      <c r="K22" s="68"/>
      <c r="L22" s="69"/>
      <c r="M22" s="69"/>
    </row>
    <row r="23" spans="1:13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3" ht="13.5" thickBot="1" x14ac:dyDescent="0.35">
      <c r="A24" s="75" t="s">
        <v>66</v>
      </c>
      <c r="B24" s="75">
        <f>SUM(B17:B22)</f>
        <v>30</v>
      </c>
      <c r="C24" s="88">
        <f>SUM(C17:C22)</f>
        <v>315739874.22999996</v>
      </c>
      <c r="D24" s="88">
        <f>C24/B24</f>
        <v>10524662.474333333</v>
      </c>
      <c r="F24" s="75" t="s">
        <v>66</v>
      </c>
      <c r="G24" s="75">
        <f>SUM(G17:G23)</f>
        <v>30</v>
      </c>
      <c r="H24" s="70">
        <f>SUM(H17:H22)</f>
        <v>264138926.22999999</v>
      </c>
      <c r="I24" s="70">
        <f>H24/G24</f>
        <v>8804630.8743333332</v>
      </c>
      <c r="J24" s="46"/>
      <c r="K24" s="68">
        <f>SUM(K17:K23)</f>
        <v>0</v>
      </c>
      <c r="L24" s="70">
        <f>SUM(L17:L23)</f>
        <v>-51600948.000000015</v>
      </c>
      <c r="M24" s="70"/>
    </row>
    <row r="25" spans="1:13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35">
      <c r="A26" s="71" t="s">
        <v>67</v>
      </c>
      <c r="B26" s="71"/>
      <c r="C26" s="72">
        <f>C12+C24</f>
        <v>803506098.9000001</v>
      </c>
      <c r="D26" s="72"/>
      <c r="E26" s="41"/>
      <c r="F26" s="71" t="s">
        <v>67</v>
      </c>
      <c r="G26" s="71"/>
      <c r="H26" s="72">
        <f>H12+H24</f>
        <v>777138034.97000003</v>
      </c>
      <c r="I26" s="72"/>
      <c r="J26" s="46"/>
      <c r="K26" s="71"/>
      <c r="L26" s="72">
        <f>L24+L12</f>
        <v>-26368063.930000007</v>
      </c>
      <c r="M26" s="72"/>
    </row>
    <row r="27" spans="1:13" ht="13.5" thickTop="1" x14ac:dyDescent="0.3"/>
    <row r="28" spans="1:13" x14ac:dyDescent="0.3">
      <c r="H28" s="122"/>
    </row>
    <row r="29" spans="1:13" x14ac:dyDescent="0.3">
      <c r="C29" s="78"/>
      <c r="H29" s="78"/>
    </row>
    <row r="30" spans="1:13" x14ac:dyDescent="0.3">
      <c r="H30" s="122"/>
    </row>
    <row r="31" spans="1:13" x14ac:dyDescent="0.3">
      <c r="H31" s="78"/>
    </row>
    <row r="33" spans="1:13" x14ac:dyDescent="0.3">
      <c r="C33" s="78"/>
    </row>
    <row r="34" spans="1:13" x14ac:dyDescent="0.3">
      <c r="H34" s="78"/>
      <c r="I34" s="78"/>
    </row>
    <row r="35" spans="1:13" x14ac:dyDescent="0.3">
      <c r="H35" s="78"/>
    </row>
    <row r="36" spans="1:13" x14ac:dyDescent="0.3">
      <c r="H36" s="78"/>
    </row>
    <row r="37" spans="1:13" x14ac:dyDescent="0.3">
      <c r="A37" s="34" t="s">
        <v>73</v>
      </c>
    </row>
    <row r="38" spans="1:13" ht="30" thickBot="1" x14ac:dyDescent="0.45">
      <c r="A38" s="37" t="s">
        <v>63</v>
      </c>
      <c r="B38" s="37" t="s">
        <v>64</v>
      </c>
      <c r="C38" s="37" t="s">
        <v>65</v>
      </c>
      <c r="D38" s="53" t="s">
        <v>74</v>
      </c>
      <c r="E38" s="36"/>
      <c r="F38" s="37" t="s">
        <v>63</v>
      </c>
      <c r="G38" s="37" t="s">
        <v>64</v>
      </c>
      <c r="H38" s="37" t="s">
        <v>65</v>
      </c>
      <c r="I38" s="18" t="s">
        <v>74</v>
      </c>
      <c r="J38" s="44"/>
      <c r="K38" s="64" t="s">
        <v>78</v>
      </c>
      <c r="L38" s="37" t="s">
        <v>76</v>
      </c>
      <c r="M38" s="37" t="s">
        <v>77</v>
      </c>
    </row>
    <row r="39" spans="1:13" ht="13.5" thickTop="1" x14ac:dyDescent="0.3">
      <c r="A39" s="50">
        <f>'Aug 2021'!F38</f>
        <v>44411</v>
      </c>
      <c r="B39" s="49">
        <f>'Aug 2021'!G38</f>
        <v>9</v>
      </c>
      <c r="C39" s="51">
        <f>'Aug 2021'!H38</f>
        <v>51200000</v>
      </c>
      <c r="D39" s="51">
        <f>'Aug 2021'!I38</f>
        <v>8350000</v>
      </c>
      <c r="F39" s="50">
        <f t="shared" ref="F39:I41" si="5">F3</f>
        <v>44898</v>
      </c>
      <c r="G39" s="49">
        <f t="shared" si="5"/>
        <v>11</v>
      </c>
      <c r="H39" s="51">
        <f t="shared" si="5"/>
        <v>89129785.760000005</v>
      </c>
      <c r="I39" s="51">
        <f t="shared" si="5"/>
        <v>31100000</v>
      </c>
      <c r="J39" s="45"/>
      <c r="K39" s="49">
        <f t="shared" ref="K39:L46" si="6">G39-B39</f>
        <v>2</v>
      </c>
      <c r="L39" s="38">
        <f t="shared" si="6"/>
        <v>37929785.760000005</v>
      </c>
      <c r="M39" s="38">
        <f>D39-I39</f>
        <v>-22750000</v>
      </c>
    </row>
    <row r="40" spans="1:13" x14ac:dyDescent="0.3">
      <c r="A40" s="50">
        <f>'Aug 2021'!F39</f>
        <v>44415</v>
      </c>
      <c r="B40" s="49">
        <f>'Aug 2021'!G39</f>
        <v>11</v>
      </c>
      <c r="C40" s="51">
        <f>'Aug 2021'!H39</f>
        <v>66097339</v>
      </c>
      <c r="D40" s="51">
        <f>'Aug 2021'!I39</f>
        <v>19870000</v>
      </c>
      <c r="F40" s="50">
        <f t="shared" si="5"/>
        <v>44905</v>
      </c>
      <c r="G40" s="49">
        <f t="shared" si="5"/>
        <v>10</v>
      </c>
      <c r="H40" s="51">
        <f t="shared" si="5"/>
        <v>63920904.399999999</v>
      </c>
      <c r="I40" s="51">
        <f t="shared" si="5"/>
        <v>8860000</v>
      </c>
      <c r="J40" s="45"/>
      <c r="K40" s="49">
        <f t="shared" si="6"/>
        <v>-1</v>
      </c>
      <c r="L40" s="38">
        <f t="shared" si="6"/>
        <v>-2176434.6000000015</v>
      </c>
      <c r="M40" s="38">
        <f t="shared" ref="M40:M46" si="7">D40-I40</f>
        <v>11010000</v>
      </c>
    </row>
    <row r="41" spans="1:13" x14ac:dyDescent="0.3">
      <c r="A41" s="50">
        <f>'Aug 2021'!F40</f>
        <v>44417</v>
      </c>
      <c r="B41" s="49">
        <f>'Aug 2021'!G40</f>
        <v>10</v>
      </c>
      <c r="C41" s="51">
        <f>'Aug 2021'!H40</f>
        <v>50177567.509999998</v>
      </c>
      <c r="D41" s="51">
        <f>'Aug 2021'!I40</f>
        <v>7290000</v>
      </c>
      <c r="F41" s="50">
        <f t="shared" si="5"/>
        <v>44906</v>
      </c>
      <c r="G41" s="49">
        <f t="shared" si="5"/>
        <v>9</v>
      </c>
      <c r="H41" s="51">
        <f t="shared" si="5"/>
        <v>54303607.119999997</v>
      </c>
      <c r="I41" s="51">
        <f t="shared" si="5"/>
        <v>7980000</v>
      </c>
      <c r="J41" s="45"/>
      <c r="K41" s="49">
        <f t="shared" si="6"/>
        <v>-1</v>
      </c>
      <c r="L41" s="38">
        <f t="shared" si="6"/>
        <v>4126039.6099999994</v>
      </c>
      <c r="M41" s="38">
        <f t="shared" si="7"/>
        <v>-690000</v>
      </c>
    </row>
    <row r="42" spans="1:13" x14ac:dyDescent="0.3">
      <c r="A42" s="50">
        <f>'Aug 2021'!F41</f>
        <v>44422</v>
      </c>
      <c r="B42" s="49">
        <f>'Aug 2021'!G41</f>
        <v>9</v>
      </c>
      <c r="C42" s="51">
        <f>'Aug 2021'!H41</f>
        <v>48775782.240000002</v>
      </c>
      <c r="D42" s="51">
        <f>'Aug 2021'!I41</f>
        <v>7360000</v>
      </c>
      <c r="F42" s="50">
        <f t="shared" ref="F42:G45" si="8">F6</f>
        <v>44912</v>
      </c>
      <c r="G42" s="49">
        <f t="shared" si="8"/>
        <v>10</v>
      </c>
      <c r="H42" s="51">
        <v>59844800.829999998</v>
      </c>
      <c r="I42" s="51">
        <f>I6</f>
        <v>8500000</v>
      </c>
      <c r="J42" s="45"/>
      <c r="K42" s="49">
        <f t="shared" si="6"/>
        <v>1</v>
      </c>
      <c r="L42" s="38">
        <f t="shared" si="6"/>
        <v>11069018.589999996</v>
      </c>
      <c r="M42" s="38">
        <f t="shared" si="7"/>
        <v>-1140000</v>
      </c>
    </row>
    <row r="43" spans="1:13" x14ac:dyDescent="0.3">
      <c r="A43" s="50">
        <f>'Aug 2021'!F42</f>
        <v>44429</v>
      </c>
      <c r="B43" s="49">
        <f>'Aug 2021'!G42</f>
        <v>10</v>
      </c>
      <c r="C43" s="51">
        <f>'Aug 2021'!H42</f>
        <v>58811054.969999999</v>
      </c>
      <c r="D43" s="51">
        <f>'Aug 2021'!I42</f>
        <v>7440000</v>
      </c>
      <c r="F43" s="50">
        <f t="shared" si="8"/>
        <v>44913</v>
      </c>
      <c r="G43" s="49">
        <f t="shared" si="8"/>
        <v>9</v>
      </c>
      <c r="H43" s="51">
        <v>57989848.700000003</v>
      </c>
      <c r="I43" s="51">
        <v>890000</v>
      </c>
      <c r="J43" s="45"/>
      <c r="K43" s="49">
        <f t="shared" si="6"/>
        <v>-1</v>
      </c>
      <c r="L43" s="38">
        <f t="shared" si="6"/>
        <v>-821206.26999999583</v>
      </c>
      <c r="M43" s="38">
        <f t="shared" si="7"/>
        <v>6550000</v>
      </c>
    </row>
    <row r="44" spans="1:13" x14ac:dyDescent="0.3">
      <c r="A44" s="50">
        <f>'Aug 2021'!F43</f>
        <v>44433</v>
      </c>
      <c r="B44" s="49">
        <f>'Aug 2021'!G43</f>
        <v>9</v>
      </c>
      <c r="C44" s="51">
        <f>'Aug 2021'!H43</f>
        <v>46169429.229999997</v>
      </c>
      <c r="D44" s="51">
        <f>'Aug 2021'!I43</f>
        <v>6650000</v>
      </c>
      <c r="F44" s="50">
        <f t="shared" si="8"/>
        <v>44919</v>
      </c>
      <c r="G44" s="49">
        <f t="shared" si="8"/>
        <v>9</v>
      </c>
      <c r="H44" s="51">
        <v>52846231</v>
      </c>
      <c r="I44" s="51">
        <v>6940000</v>
      </c>
      <c r="J44" s="45"/>
      <c r="K44" s="49">
        <f t="shared" si="6"/>
        <v>0</v>
      </c>
      <c r="L44" s="38">
        <f t="shared" si="6"/>
        <v>6676801.7700000033</v>
      </c>
      <c r="M44" s="38">
        <f t="shared" si="7"/>
        <v>-290000</v>
      </c>
    </row>
    <row r="45" spans="1:13" x14ac:dyDescent="0.3">
      <c r="A45" s="50">
        <f>'Aug 2021'!F44</f>
        <v>44436</v>
      </c>
      <c r="B45" s="49">
        <f>'Aug 2021'!G44</f>
        <v>11</v>
      </c>
      <c r="C45" s="51">
        <f>'Aug 2021'!H44</f>
        <v>58640383.229999997</v>
      </c>
      <c r="D45" s="51">
        <f>'Aug 2021'!I44</f>
        <v>8980000</v>
      </c>
      <c r="F45" s="50">
        <f t="shared" si="8"/>
        <v>44921</v>
      </c>
      <c r="G45" s="49">
        <f t="shared" si="8"/>
        <v>9</v>
      </c>
      <c r="H45" s="51">
        <v>58554546</v>
      </c>
      <c r="I45" s="51">
        <v>7680000</v>
      </c>
      <c r="J45" s="45"/>
      <c r="K45" s="49">
        <f t="shared" si="6"/>
        <v>-2</v>
      </c>
      <c r="L45" s="38">
        <f t="shared" si="6"/>
        <v>-85837.229999996722</v>
      </c>
      <c r="M45" s="38">
        <f t="shared" si="7"/>
        <v>1300000</v>
      </c>
    </row>
    <row r="46" spans="1:13" x14ac:dyDescent="0.3">
      <c r="A46" s="50"/>
      <c r="B46" s="49"/>
      <c r="C46" s="51"/>
      <c r="D46" s="51"/>
      <c r="F46" s="50">
        <f>F10</f>
        <v>44922</v>
      </c>
      <c r="G46" s="49">
        <v>10</v>
      </c>
      <c r="H46" s="51">
        <v>60523584</v>
      </c>
      <c r="I46" s="43">
        <v>8290000</v>
      </c>
      <c r="J46" s="45"/>
      <c r="K46" s="49">
        <f t="shared" si="6"/>
        <v>10</v>
      </c>
      <c r="L46" s="38">
        <f t="shared" si="6"/>
        <v>60523584</v>
      </c>
      <c r="M46" s="38">
        <f t="shared" si="7"/>
        <v>-8290000</v>
      </c>
    </row>
    <row r="47" spans="1:13" ht="15" thickBot="1" x14ac:dyDescent="0.4">
      <c r="A47" s="52" t="s">
        <v>66</v>
      </c>
      <c r="B47" s="52">
        <f>SUM(B39:B46)</f>
        <v>69</v>
      </c>
      <c r="C47" s="39">
        <f>SUM(C39:C46)</f>
        <v>379871556.18000007</v>
      </c>
      <c r="D47" s="54">
        <f>SUM(D39:D46)</f>
        <v>65940000</v>
      </c>
      <c r="F47" s="52" t="s">
        <v>66</v>
      </c>
      <c r="G47" s="52">
        <f>SUM(G39:G46)</f>
        <v>77</v>
      </c>
      <c r="H47" s="39">
        <f>SUM(H39:H46)</f>
        <v>497113307.81</v>
      </c>
      <c r="I47" s="39">
        <f>SUM(I39:I46)</f>
        <v>80240000</v>
      </c>
      <c r="J47" s="46"/>
      <c r="K47" s="14">
        <f>G47-B47</f>
        <v>8</v>
      </c>
      <c r="L47" s="39">
        <f>SUM(L39:L46)</f>
        <v>117241751.63000001</v>
      </c>
      <c r="M47" s="39">
        <f>SUM(M39:M46)</f>
        <v>-14300000</v>
      </c>
    </row>
    <row r="48" spans="1:13" ht="13.5" thickTop="1" x14ac:dyDescent="0.3">
      <c r="A48" s="49" t="s">
        <v>75</v>
      </c>
      <c r="B48" s="55"/>
      <c r="C48" s="40"/>
      <c r="D48" s="40"/>
      <c r="F48" s="58"/>
      <c r="G48" s="56"/>
      <c r="H48" s="57"/>
      <c r="I48" s="57"/>
      <c r="J48" s="46"/>
      <c r="K48" s="49"/>
      <c r="L48" s="40"/>
      <c r="M48" s="40"/>
    </row>
    <row r="49" spans="1:13" x14ac:dyDescent="0.3">
      <c r="A49" s="65" t="s">
        <v>72</v>
      </c>
      <c r="B49" s="62">
        <f>SUM(B39:B46)/COUNT(B39:B46)</f>
        <v>9.8571428571428577</v>
      </c>
      <c r="C49" s="63">
        <f>SUM(C39:C46)/COUNT(C39:C46)</f>
        <v>54267365.168571435</v>
      </c>
      <c r="D49" s="63">
        <f>SUM(D39:D46)/COUNT(D39:D46)</f>
        <v>9420000</v>
      </c>
      <c r="F49" s="59"/>
      <c r="G49" s="60">
        <f>SUM(G39:G46)/COUNT(G39:G46)</f>
        <v>9.625</v>
      </c>
      <c r="H49" s="61">
        <f>SUM(H39:H46)/COUNT(H39:H46)</f>
        <v>62139163.47625</v>
      </c>
      <c r="I49" s="61">
        <f>SUM(I39:I46)/COUNT(I39:I46)</f>
        <v>10030000</v>
      </c>
      <c r="J49" s="48"/>
      <c r="K49" s="62">
        <f>SUM(K39:K46)/COUNT(K39:K46)</f>
        <v>1</v>
      </c>
      <c r="L49" s="63">
        <f>SUM(L39:L46)/COUNT(L39:L46)</f>
        <v>14655218.953750001</v>
      </c>
      <c r="M49" s="63">
        <f>SUM(M39:M46)/COUNT(M39:M46)</f>
        <v>-1787500</v>
      </c>
    </row>
    <row r="51" spans="1:13" x14ac:dyDescent="0.3">
      <c r="A51" s="34" t="s">
        <v>71</v>
      </c>
      <c r="I51" s="78"/>
    </row>
    <row r="52" spans="1:13" ht="29.5" thickBot="1" x14ac:dyDescent="0.4">
      <c r="A52" s="76" t="s">
        <v>70</v>
      </c>
      <c r="B52" s="76" t="s">
        <v>69</v>
      </c>
      <c r="C52" s="76" t="s">
        <v>65</v>
      </c>
      <c r="D52" s="76"/>
      <c r="F52" s="76" t="s">
        <v>70</v>
      </c>
      <c r="G52" s="76" t="s">
        <v>69</v>
      </c>
      <c r="H52" s="76" t="s">
        <v>65</v>
      </c>
      <c r="I52" s="76" t="s">
        <v>74</v>
      </c>
      <c r="J52" s="77"/>
      <c r="K52" s="66" t="s">
        <v>78</v>
      </c>
      <c r="L52" s="67" t="s">
        <v>76</v>
      </c>
      <c r="M52" s="67" t="s">
        <v>77</v>
      </c>
    </row>
    <row r="53" spans="1:13" x14ac:dyDescent="0.3">
      <c r="A53" s="73">
        <v>44415</v>
      </c>
      <c r="B53" s="68">
        <v>7</v>
      </c>
      <c r="C53" s="74">
        <f>'Aug 2021'!H21</f>
        <v>50600458.93</v>
      </c>
      <c r="D53" s="74"/>
      <c r="F53" s="73">
        <v>44779</v>
      </c>
      <c r="G53" s="68">
        <v>6</v>
      </c>
      <c r="H53" s="74">
        <f>H17</f>
        <v>42423919.560000002</v>
      </c>
      <c r="I53" s="69"/>
      <c r="J53" s="45"/>
      <c r="K53" s="68">
        <f>G53-B53</f>
        <v>-1</v>
      </c>
      <c r="L53" s="69">
        <f>H53-C53</f>
        <v>-8176539.3699999973</v>
      </c>
      <c r="M53" s="69"/>
    </row>
    <row r="54" spans="1:13" x14ac:dyDescent="0.3">
      <c r="A54" s="73">
        <v>44422</v>
      </c>
      <c r="B54" s="68">
        <v>7</v>
      </c>
      <c r="C54" s="74">
        <f>'Aug 2021'!H22</f>
        <v>44925240.229999997</v>
      </c>
      <c r="D54" s="74"/>
      <c r="F54" s="73">
        <v>44786</v>
      </c>
      <c r="G54" s="68">
        <v>7</v>
      </c>
      <c r="H54" s="74">
        <f>H18</f>
        <v>75950764.769999996</v>
      </c>
      <c r="I54" s="69"/>
      <c r="J54" s="45"/>
      <c r="K54" s="68">
        <f t="shared" ref="K54:L58" si="9">G54-B54</f>
        <v>0</v>
      </c>
      <c r="L54" s="69">
        <f t="shared" si="9"/>
        <v>31025524.539999999</v>
      </c>
      <c r="M54" s="69"/>
    </row>
    <row r="55" spans="1:13" x14ac:dyDescent="0.3">
      <c r="A55" s="73">
        <v>44429</v>
      </c>
      <c r="B55" s="68">
        <v>7</v>
      </c>
      <c r="C55" s="74">
        <f>'Aug 2021'!H23</f>
        <v>35032249.880000003</v>
      </c>
      <c r="D55" s="74"/>
      <c r="F55" s="73">
        <v>44793</v>
      </c>
      <c r="G55" s="68">
        <v>7</v>
      </c>
      <c r="H55" s="74">
        <v>86650808.819999993</v>
      </c>
      <c r="I55" s="69"/>
      <c r="J55" s="45"/>
      <c r="K55" s="68">
        <f t="shared" si="9"/>
        <v>0</v>
      </c>
      <c r="L55" s="69">
        <f t="shared" si="9"/>
        <v>51618558.93999999</v>
      </c>
      <c r="M55" s="69"/>
    </row>
    <row r="56" spans="1:13" x14ac:dyDescent="0.3">
      <c r="A56" s="73">
        <v>44436</v>
      </c>
      <c r="B56" s="68">
        <v>7</v>
      </c>
      <c r="C56" s="74">
        <f>'Aug 2021'!H24</f>
        <v>28029421.32</v>
      </c>
      <c r="D56" s="74"/>
      <c r="F56" s="73">
        <v>44800</v>
      </c>
      <c r="G56" s="68">
        <v>7</v>
      </c>
      <c r="H56" s="74">
        <v>86108329.560000002</v>
      </c>
      <c r="I56" s="69"/>
      <c r="J56" s="45"/>
      <c r="K56" s="68">
        <f t="shared" si="9"/>
        <v>0</v>
      </c>
      <c r="L56" s="69">
        <f>H56-C56</f>
        <v>58078908.240000002</v>
      </c>
      <c r="M56" s="69"/>
    </row>
    <row r="57" spans="1:13" x14ac:dyDescent="0.3">
      <c r="A57" s="73">
        <v>44439</v>
      </c>
      <c r="B57" s="68">
        <v>3</v>
      </c>
      <c r="C57" s="74">
        <f>'Aug 2021'!H25</f>
        <v>0</v>
      </c>
      <c r="D57" s="74"/>
      <c r="F57" s="73">
        <v>44804</v>
      </c>
      <c r="G57" s="68">
        <v>4</v>
      </c>
      <c r="H57" s="113">
        <v>38597965.57</v>
      </c>
      <c r="J57" s="45"/>
      <c r="K57" s="68">
        <f t="shared" si="9"/>
        <v>1</v>
      </c>
      <c r="L57" s="69">
        <f>H57-C57</f>
        <v>38597965.57</v>
      </c>
      <c r="M57" s="69"/>
    </row>
    <row r="58" spans="1:13" x14ac:dyDescent="0.3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>
        <f t="shared" si="9"/>
        <v>0</v>
      </c>
      <c r="M58" s="69"/>
    </row>
    <row r="59" spans="1:13" x14ac:dyDescent="0.3">
      <c r="A59" s="73"/>
      <c r="B59" s="68"/>
      <c r="C59" s="74"/>
      <c r="D59" s="74"/>
      <c r="F59" s="73"/>
      <c r="G59" s="68"/>
      <c r="H59" s="74"/>
      <c r="I59" s="69"/>
      <c r="J59" s="45"/>
      <c r="K59" s="68"/>
      <c r="L59" s="69"/>
      <c r="M59" s="69"/>
    </row>
    <row r="60" spans="1:13" ht="13.5" thickBot="1" x14ac:dyDescent="0.35">
      <c r="A60" s="75" t="s">
        <v>66</v>
      </c>
      <c r="B60" s="75">
        <f>SUM(B53:B59)</f>
        <v>31</v>
      </c>
      <c r="C60" s="70">
        <f>SUM(C53:C59)</f>
        <v>158587370.35999998</v>
      </c>
      <c r="D60" s="70"/>
      <c r="F60" s="75" t="s">
        <v>66</v>
      </c>
      <c r="G60" s="75">
        <f>SUM(G53:G59)</f>
        <v>31</v>
      </c>
      <c r="H60" s="70">
        <f>SUM(H53:H59)</f>
        <v>329731788.27999997</v>
      </c>
      <c r="I60" s="70"/>
      <c r="J60" s="46"/>
      <c r="K60" s="68">
        <f>SUM(K53:K59)</f>
        <v>0</v>
      </c>
      <c r="L60" s="70">
        <f>SUM(L53:L59)</f>
        <v>171144417.91999999</v>
      </c>
      <c r="M60" s="70"/>
    </row>
    <row r="61" spans="1:13" ht="13.5" thickTop="1" x14ac:dyDescent="0.3">
      <c r="A61" s="68"/>
      <c r="B61" s="68"/>
      <c r="C61" s="74"/>
      <c r="D61" s="74"/>
      <c r="F61" s="68"/>
      <c r="G61" s="68"/>
      <c r="H61" s="68"/>
      <c r="I61" s="68"/>
      <c r="K61" s="68"/>
      <c r="L61" s="68"/>
      <c r="M61" s="68"/>
    </row>
    <row r="62" spans="1:13" ht="13.5" thickBot="1" x14ac:dyDescent="0.35">
      <c r="A62" s="71" t="s">
        <v>67</v>
      </c>
      <c r="B62" s="71"/>
      <c r="C62" s="72">
        <f>C47+C60</f>
        <v>538458926.54000008</v>
      </c>
      <c r="D62" s="72"/>
      <c r="E62" s="41"/>
      <c r="F62" s="71" t="s">
        <v>67</v>
      </c>
      <c r="G62" s="71"/>
      <c r="H62" s="72">
        <f>H60+H47</f>
        <v>826845096.08999991</v>
      </c>
      <c r="I62" s="72"/>
      <c r="J62" s="46"/>
      <c r="K62" s="71"/>
      <c r="L62" s="72">
        <f>L60+L47</f>
        <v>288386169.55000001</v>
      </c>
      <c r="M62" s="72"/>
    </row>
    <row r="63" spans="1:13" ht="13.5" thickTop="1" x14ac:dyDescent="0.3"/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9D3A-AF1C-4265-B865-A548A9C408FF}">
  <dimension ref="A1:O36"/>
  <sheetViews>
    <sheetView workbookViewId="0">
      <selection activeCell="F17" sqref="F17:H21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8" style="35" bestFit="1" customWidth="1"/>
    <col min="7" max="7" width="5.7265625" style="35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44562</v>
      </c>
      <c r="B3" s="90">
        <v>10</v>
      </c>
      <c r="C3" s="51">
        <v>58155975.579999998</v>
      </c>
      <c r="D3" s="51">
        <v>7910000</v>
      </c>
      <c r="F3" s="10">
        <v>44928</v>
      </c>
      <c r="G3" s="90">
        <v>9</v>
      </c>
      <c r="H3" s="51">
        <v>62487022.289999999</v>
      </c>
      <c r="I3" s="51">
        <v>7870000</v>
      </c>
      <c r="J3" s="45"/>
      <c r="K3" s="49">
        <f t="shared" ref="K3:L10" si="0">G3-B3</f>
        <v>-1</v>
      </c>
      <c r="L3" s="38">
        <f t="shared" si="0"/>
        <v>4331046.7100000009</v>
      </c>
      <c r="M3" s="38">
        <f>D3-I3</f>
        <v>40000</v>
      </c>
    </row>
    <row r="4" spans="1:15" ht="14.5" x14ac:dyDescent="0.35">
      <c r="A4" s="10">
        <v>44569</v>
      </c>
      <c r="B4" s="93">
        <v>10</v>
      </c>
      <c r="C4" s="51">
        <v>61992719</v>
      </c>
      <c r="D4" s="51">
        <v>7180000</v>
      </c>
      <c r="F4" s="10">
        <v>44933</v>
      </c>
      <c r="G4" s="93">
        <v>9</v>
      </c>
      <c r="H4" s="51">
        <v>59612946.689999998</v>
      </c>
      <c r="I4" s="51">
        <v>7310000</v>
      </c>
      <c r="J4" s="45"/>
      <c r="K4" s="49">
        <f t="shared" si="0"/>
        <v>-1</v>
      </c>
      <c r="L4" s="38">
        <f t="shared" si="0"/>
        <v>-2379772.3100000024</v>
      </c>
      <c r="M4" s="38">
        <f t="shared" ref="M4:M11" si="1">D4-I4</f>
        <v>-130000</v>
      </c>
    </row>
    <row r="5" spans="1:15" ht="14.5" x14ac:dyDescent="0.35">
      <c r="A5" s="10">
        <v>44576</v>
      </c>
      <c r="B5" s="93">
        <v>10</v>
      </c>
      <c r="C5" s="51">
        <v>58625902.539999999</v>
      </c>
      <c r="D5" s="51">
        <v>7410000</v>
      </c>
      <c r="F5" s="10">
        <v>44940</v>
      </c>
      <c r="G5" s="93">
        <v>9</v>
      </c>
      <c r="H5" s="51">
        <v>54705192.799999997</v>
      </c>
      <c r="I5" s="51">
        <v>7690000</v>
      </c>
      <c r="J5" s="45"/>
      <c r="K5" s="49">
        <f t="shared" si="0"/>
        <v>-1</v>
      </c>
      <c r="L5" s="38">
        <f t="shared" si="0"/>
        <v>-3920709.7400000021</v>
      </c>
      <c r="M5" s="38">
        <f t="shared" si="1"/>
        <v>-280000</v>
      </c>
    </row>
    <row r="6" spans="1:15" ht="14.5" x14ac:dyDescent="0.35">
      <c r="A6" s="10">
        <v>44577</v>
      </c>
      <c r="B6" s="93">
        <v>10</v>
      </c>
      <c r="C6" s="51">
        <v>46108387</v>
      </c>
      <c r="D6" s="51">
        <v>7210000</v>
      </c>
      <c r="F6" s="10">
        <v>44941</v>
      </c>
      <c r="G6" s="93">
        <v>9</v>
      </c>
      <c r="H6" s="51">
        <v>43411970.859999999</v>
      </c>
      <c r="I6" s="51">
        <v>7020000</v>
      </c>
      <c r="J6" s="45"/>
      <c r="K6" s="49">
        <f t="shared" si="0"/>
        <v>-1</v>
      </c>
      <c r="L6" s="38">
        <f t="shared" si="0"/>
        <v>-2696416.1400000006</v>
      </c>
      <c r="M6" s="38">
        <f t="shared" si="1"/>
        <v>190000</v>
      </c>
    </row>
    <row r="7" spans="1:15" ht="14.5" x14ac:dyDescent="0.35">
      <c r="A7" s="10">
        <v>44583</v>
      </c>
      <c r="B7" s="93">
        <v>9</v>
      </c>
      <c r="C7" s="51">
        <v>57967511</v>
      </c>
      <c r="D7" s="51">
        <v>6360000</v>
      </c>
      <c r="F7" s="10">
        <v>44947</v>
      </c>
      <c r="G7" s="93">
        <v>9</v>
      </c>
      <c r="H7" s="51">
        <v>63436337</v>
      </c>
      <c r="I7" s="51">
        <v>7200000</v>
      </c>
      <c r="J7" s="45"/>
      <c r="K7" s="49">
        <f t="shared" si="0"/>
        <v>0</v>
      </c>
      <c r="L7" s="38">
        <f t="shared" si="0"/>
        <v>5468826</v>
      </c>
      <c r="M7" s="38">
        <f t="shared" si="1"/>
        <v>-840000</v>
      </c>
    </row>
    <row r="8" spans="1:15" ht="14.5" x14ac:dyDescent="0.35">
      <c r="A8" s="10">
        <v>44590</v>
      </c>
      <c r="B8" s="93">
        <v>10</v>
      </c>
      <c r="C8" s="51">
        <v>63625255</v>
      </c>
      <c r="D8" s="51">
        <v>7995000</v>
      </c>
      <c r="F8" s="10">
        <v>44954</v>
      </c>
      <c r="G8" s="93">
        <v>10</v>
      </c>
      <c r="H8" s="51">
        <v>65477371</v>
      </c>
      <c r="I8" s="51">
        <v>8590000</v>
      </c>
      <c r="J8" s="45"/>
      <c r="K8" s="49">
        <f t="shared" si="0"/>
        <v>0</v>
      </c>
      <c r="L8" s="38">
        <f t="shared" si="0"/>
        <v>1852116</v>
      </c>
      <c r="M8" s="38">
        <f t="shared" si="1"/>
        <v>-595000</v>
      </c>
    </row>
    <row r="9" spans="1:15" ht="14.5" x14ac:dyDescent="0.35">
      <c r="A9" s="10">
        <v>44591</v>
      </c>
      <c r="B9" s="107">
        <v>10</v>
      </c>
      <c r="C9" s="51">
        <v>62085630.390000001</v>
      </c>
      <c r="D9" s="108">
        <f>550000+670000+650000+920000+700000+670000+800000+700000+770000+1050000</f>
        <v>7480000</v>
      </c>
      <c r="F9" s="10">
        <v>44955</v>
      </c>
      <c r="G9" s="107">
        <v>10</v>
      </c>
      <c r="H9" s="51">
        <v>70196502</v>
      </c>
      <c r="I9" s="108">
        <v>8360000</v>
      </c>
      <c r="J9" s="45"/>
      <c r="K9" s="49">
        <f t="shared" si="0"/>
        <v>0</v>
      </c>
      <c r="L9" s="38">
        <f t="shared" si="0"/>
        <v>8110871.6099999994</v>
      </c>
      <c r="M9" s="38">
        <f t="shared" si="1"/>
        <v>-880000</v>
      </c>
      <c r="O9" s="35" t="s">
        <v>82</v>
      </c>
    </row>
    <row r="10" spans="1:15" ht="14.5" x14ac:dyDescent="0.35">
      <c r="A10" s="10"/>
      <c r="B10" s="93"/>
      <c r="C10" s="108"/>
      <c r="D10" s="51"/>
      <c r="F10" s="10"/>
      <c r="G10" s="49"/>
      <c r="H10" s="51"/>
      <c r="I10" s="43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t="14.5" x14ac:dyDescent="0.35">
      <c r="A11" s="10"/>
      <c r="B11" s="93"/>
      <c r="C11" s="108"/>
      <c r="D11" s="120"/>
      <c r="F11" s="10"/>
      <c r="G11" s="49"/>
      <c r="H11" s="51"/>
      <c r="I11" s="38"/>
      <c r="J11" s="45"/>
      <c r="K11" s="121"/>
      <c r="L11" s="38"/>
      <c r="M11" s="38">
        <f t="shared" si="1"/>
        <v>0</v>
      </c>
    </row>
    <row r="12" spans="1:15" ht="15" thickBot="1" x14ac:dyDescent="0.4">
      <c r="A12" s="52" t="s">
        <v>66</v>
      </c>
      <c r="B12" s="52">
        <f>SUM(B3:B10)</f>
        <v>69</v>
      </c>
      <c r="C12" s="39">
        <f>SUM(C3:C10)</f>
        <v>408561380.50999999</v>
      </c>
      <c r="D12" s="54">
        <f>SUM(D3:D10)</f>
        <v>51545000</v>
      </c>
      <c r="F12" s="52" t="s">
        <v>66</v>
      </c>
      <c r="G12" s="52">
        <f>SUM(G3:G11)</f>
        <v>65</v>
      </c>
      <c r="H12" s="39">
        <f>SUM(H3:H11)</f>
        <v>419327342.63999999</v>
      </c>
      <c r="I12" s="39">
        <f>SUM(I3:I11)</f>
        <v>54040000</v>
      </c>
      <c r="J12" s="46"/>
      <c r="K12" s="14">
        <f>G12-B12</f>
        <v>-4</v>
      </c>
      <c r="L12" s="39">
        <f>SUM(L3:L11)</f>
        <v>10765962.129999995</v>
      </c>
      <c r="M12" s="39">
        <f>SUM(M3:M11)</f>
        <v>-2495000</v>
      </c>
    </row>
    <row r="13" spans="1:15" ht="13.5" thickTop="1" x14ac:dyDescent="0.3">
      <c r="A13" s="65" t="s">
        <v>72</v>
      </c>
      <c r="B13" s="62">
        <f>SUM(B3:B10)/COUNT(B3:B10)</f>
        <v>9.8571428571428577</v>
      </c>
      <c r="C13" s="63">
        <f>SUM(C3:C10)/COUNT(C3:C10)</f>
        <v>58365911.501428567</v>
      </c>
      <c r="D13" s="63">
        <f>SUM(D3:D10)/COUNT(D3:D10)</f>
        <v>7363571.4285714282</v>
      </c>
      <c r="F13" s="59"/>
      <c r="G13" s="60">
        <f>SUM(G3:G11)/COUNT(G3:G10)</f>
        <v>9.2857142857142865</v>
      </c>
      <c r="H13" s="61">
        <f>SUM(H3:H11)/COUNT(H3:H11)</f>
        <v>59903906.09142857</v>
      </c>
      <c r="I13" s="61">
        <f>SUM(I3:I11)/COUNT(I3:I11)</f>
        <v>7720000</v>
      </c>
      <c r="J13" s="48"/>
      <c r="K13" s="62">
        <f>SUM(K3:K11)/COUNT(K3:K10)</f>
        <v>-0.5</v>
      </c>
      <c r="L13" s="63">
        <f>SUM(L3:L11)/COUNT(L3:L10)</f>
        <v>1345745.2662499994</v>
      </c>
      <c r="M13" s="63">
        <f>SUM(M3:M11)/COUNT(M3:M10)</f>
        <v>-311875</v>
      </c>
    </row>
    <row r="14" spans="1:15" hidden="1" x14ac:dyDescent="0.3">
      <c r="H14" s="78">
        <f>H12/G12</f>
        <v>6451189.8867692305</v>
      </c>
    </row>
    <row r="15" spans="1:15" x14ac:dyDescent="0.3">
      <c r="A15" s="34" t="s">
        <v>71</v>
      </c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3" ht="14.5" x14ac:dyDescent="0.35">
      <c r="A17" s="73">
        <v>44562</v>
      </c>
      <c r="B17" s="68">
        <v>1</v>
      </c>
      <c r="C17" s="74">
        <v>18516727.739999998</v>
      </c>
      <c r="D17" s="74">
        <f>C17/B17</f>
        <v>18516727.739999998</v>
      </c>
      <c r="F17" s="10">
        <v>44933</v>
      </c>
      <c r="G17" s="68">
        <v>7</v>
      </c>
      <c r="H17" s="74">
        <v>93136121.599999994</v>
      </c>
      <c r="I17" s="69">
        <f>H17/G17</f>
        <v>13305160.228571428</v>
      </c>
      <c r="J17" s="45"/>
      <c r="K17" s="68">
        <f t="shared" ref="K17:L22" si="2">G17-B17</f>
        <v>6</v>
      </c>
      <c r="L17" s="69">
        <f>H17-C17</f>
        <v>74619393.859999999</v>
      </c>
      <c r="M17" s="69"/>
    </row>
    <row r="18" spans="1:13" ht="14.5" x14ac:dyDescent="0.35">
      <c r="A18" s="73">
        <v>44569</v>
      </c>
      <c r="B18" s="68">
        <v>7</v>
      </c>
      <c r="C18" s="74">
        <f>58023307.58+18052064.55</f>
        <v>76075372.129999995</v>
      </c>
      <c r="D18" s="74">
        <f t="shared" ref="D18:D21" si="3">C18/B18</f>
        <v>10867910.304285714</v>
      </c>
      <c r="F18" s="10">
        <v>44940</v>
      </c>
      <c r="G18" s="68">
        <v>7</v>
      </c>
      <c r="H18" s="74">
        <v>78910784.5</v>
      </c>
      <c r="I18" s="69">
        <f t="shared" ref="I18:I21" si="4">H18/G18</f>
        <v>11272969.214285715</v>
      </c>
      <c r="J18" s="45"/>
      <c r="K18" s="68">
        <f t="shared" si="2"/>
        <v>0</v>
      </c>
      <c r="L18" s="69">
        <f>H18-C18</f>
        <v>2835412.3700000048</v>
      </c>
      <c r="M18" s="69"/>
    </row>
    <row r="19" spans="1:13" ht="14.5" x14ac:dyDescent="0.35">
      <c r="A19" s="73">
        <v>44576</v>
      </c>
      <c r="B19" s="68">
        <v>7</v>
      </c>
      <c r="C19" s="74">
        <v>83381036.090000004</v>
      </c>
      <c r="D19" s="74">
        <f t="shared" si="3"/>
        <v>11911576.584285716</v>
      </c>
      <c r="F19" s="10">
        <v>44947</v>
      </c>
      <c r="G19" s="68">
        <v>7</v>
      </c>
      <c r="H19" s="74">
        <v>83765414.420000002</v>
      </c>
      <c r="I19" s="69">
        <f t="shared" si="4"/>
        <v>11966487.774285715</v>
      </c>
      <c r="J19" s="45"/>
      <c r="K19" s="68">
        <f t="shared" si="2"/>
        <v>0</v>
      </c>
      <c r="L19" s="69">
        <f>H19-C19</f>
        <v>384378.32999999821</v>
      </c>
      <c r="M19" s="69"/>
    </row>
    <row r="20" spans="1:13" ht="14.5" x14ac:dyDescent="0.35">
      <c r="A20" s="73">
        <v>44583</v>
      </c>
      <c r="B20" s="68">
        <v>7</v>
      </c>
      <c r="C20" s="74">
        <v>78558056.540000007</v>
      </c>
      <c r="D20" s="74">
        <f t="shared" si="3"/>
        <v>11222579.505714286</v>
      </c>
      <c r="F20" s="10">
        <v>44954</v>
      </c>
      <c r="G20" s="68">
        <v>7</v>
      </c>
      <c r="H20" s="74">
        <v>86522639.260000005</v>
      </c>
      <c r="I20" s="69">
        <f t="shared" si="4"/>
        <v>12360377.037142858</v>
      </c>
      <c r="J20" s="45"/>
      <c r="K20" s="68">
        <f t="shared" si="2"/>
        <v>0</v>
      </c>
      <c r="L20" s="69">
        <f t="shared" si="2"/>
        <v>7964582.7199999988</v>
      </c>
      <c r="M20" s="69"/>
    </row>
    <row r="21" spans="1:13" ht="14.5" x14ac:dyDescent="0.35">
      <c r="A21" s="73">
        <v>44590</v>
      </c>
      <c r="B21" s="68">
        <v>7</v>
      </c>
      <c r="C21" s="74">
        <v>80065858</v>
      </c>
      <c r="D21" s="74">
        <f t="shared" si="3"/>
        <v>11437979.714285715</v>
      </c>
      <c r="F21" s="10">
        <v>44957</v>
      </c>
      <c r="G21" s="68">
        <v>3</v>
      </c>
      <c r="H21" s="106">
        <v>26000000</v>
      </c>
      <c r="I21" s="69">
        <f t="shared" si="4"/>
        <v>8666666.666666666</v>
      </c>
      <c r="J21" s="45"/>
      <c r="K21" s="68">
        <f t="shared" si="2"/>
        <v>-4</v>
      </c>
      <c r="L21" s="69">
        <f t="shared" si="2"/>
        <v>-54065858</v>
      </c>
      <c r="M21" s="69"/>
    </row>
    <row r="22" spans="1:13" ht="14.5" x14ac:dyDescent="0.35">
      <c r="A22" s="73">
        <v>44592</v>
      </c>
      <c r="B22" s="68">
        <v>2</v>
      </c>
      <c r="C22" s="74">
        <v>18802940.52</v>
      </c>
      <c r="D22" s="74"/>
      <c r="F22" s="10"/>
      <c r="G22" s="68"/>
      <c r="H22" s="106"/>
      <c r="I22" s="69"/>
      <c r="J22" s="45"/>
      <c r="K22" s="68"/>
      <c r="L22" s="69">
        <f t="shared" si="2"/>
        <v>-18802940.52</v>
      </c>
      <c r="M22" s="69"/>
    </row>
    <row r="23" spans="1:13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3" ht="13.5" thickBot="1" x14ac:dyDescent="0.35">
      <c r="A24" s="75" t="s">
        <v>66</v>
      </c>
      <c r="B24" s="75">
        <f>SUM(B17:B22)</f>
        <v>31</v>
      </c>
      <c r="C24" s="88">
        <f>SUM(C17:C22)</f>
        <v>355399991.01999998</v>
      </c>
      <c r="D24" s="88">
        <f>C24/B24</f>
        <v>11464515.839354837</v>
      </c>
      <c r="F24" s="75" t="s">
        <v>66</v>
      </c>
      <c r="G24" s="75">
        <f>SUM(G17:G23)</f>
        <v>31</v>
      </c>
      <c r="H24" s="70">
        <f>SUM(H17:H22)</f>
        <v>368334959.77999997</v>
      </c>
      <c r="I24" s="70">
        <f>H24/G24</f>
        <v>11881772.896129031</v>
      </c>
      <c r="J24" s="46"/>
      <c r="K24" s="68">
        <f>SUM(K17:K23)</f>
        <v>2</v>
      </c>
      <c r="L24" s="70">
        <f>SUM(L17:L23)</f>
        <v>12934968.760000002</v>
      </c>
      <c r="M24" s="70"/>
    </row>
    <row r="25" spans="1:13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35">
      <c r="A26" s="71" t="s">
        <v>67</v>
      </c>
      <c r="B26" s="71"/>
      <c r="C26" s="72">
        <f>C12+C24</f>
        <v>763961371.52999997</v>
      </c>
      <c r="D26" s="72"/>
      <c r="E26" s="41"/>
      <c r="F26" s="71" t="s">
        <v>67</v>
      </c>
      <c r="G26" s="71"/>
      <c r="H26" s="72">
        <f>H12+H24</f>
        <v>787662302.41999996</v>
      </c>
      <c r="I26" s="72"/>
      <c r="J26" s="46"/>
      <c r="K26" s="71"/>
      <c r="L26" s="72">
        <f>L24+L12</f>
        <v>23700930.889999997</v>
      </c>
      <c r="M26" s="72"/>
    </row>
    <row r="27" spans="1:13" ht="13.5" thickTop="1" x14ac:dyDescent="0.3"/>
    <row r="28" spans="1:13" x14ac:dyDescent="0.3">
      <c r="H28" s="122"/>
    </row>
    <row r="29" spans="1:13" x14ac:dyDescent="0.3">
      <c r="C29" s="78"/>
      <c r="F29" s="35" t="s">
        <v>73</v>
      </c>
      <c r="H29" s="78" t="s">
        <v>87</v>
      </c>
      <c r="I29" s="35" t="s">
        <v>66</v>
      </c>
    </row>
    <row r="30" spans="1:13" x14ac:dyDescent="0.3">
      <c r="D30" s="35" t="s">
        <v>83</v>
      </c>
      <c r="F30" s="78">
        <f>H12</f>
        <v>419327342.63999999</v>
      </c>
      <c r="H30" s="122">
        <f>H24</f>
        <v>368334959.77999997</v>
      </c>
      <c r="I30" s="78">
        <f>F30+H30</f>
        <v>787662302.41999996</v>
      </c>
    </row>
    <row r="31" spans="1:13" x14ac:dyDescent="0.3">
      <c r="D31" s="35" t="s">
        <v>84</v>
      </c>
      <c r="F31" s="78">
        <f>'February 2023'!H12</f>
        <v>455859689</v>
      </c>
      <c r="H31" s="78">
        <f>'February 2023'!H24</f>
        <v>359557577.57999998</v>
      </c>
      <c r="I31" s="78">
        <f t="shared" ref="I31:I35" si="5">F31+H31</f>
        <v>815417266.57999992</v>
      </c>
    </row>
    <row r="32" spans="1:13" x14ac:dyDescent="0.3">
      <c r="D32" s="35" t="s">
        <v>85</v>
      </c>
      <c r="F32" s="78">
        <f>'March 2023'!H12</f>
        <v>442793770.28999996</v>
      </c>
      <c r="H32" s="78">
        <f>'March 2023'!H24</f>
        <v>384179852.75999999</v>
      </c>
      <c r="I32" s="78">
        <f t="shared" si="5"/>
        <v>826973623.04999995</v>
      </c>
    </row>
    <row r="33" spans="3:9" x14ac:dyDescent="0.3">
      <c r="C33" s="78"/>
      <c r="D33" s="35" t="s">
        <v>86</v>
      </c>
      <c r="F33" s="78"/>
      <c r="H33" s="78"/>
      <c r="I33" s="78"/>
    </row>
    <row r="34" spans="3:9" x14ac:dyDescent="0.3">
      <c r="H34" s="78"/>
      <c r="I34" s="78"/>
    </row>
    <row r="35" spans="3:9" x14ac:dyDescent="0.3">
      <c r="D35" s="35" t="s">
        <v>62</v>
      </c>
      <c r="F35" s="78">
        <f>SUM(F30:F33)</f>
        <v>1317980801.9299998</v>
      </c>
      <c r="H35" s="78">
        <f>SUM(H30:H33)</f>
        <v>1112072390.1199999</v>
      </c>
      <c r="I35" s="128">
        <f t="shared" si="5"/>
        <v>2430053192.0499997</v>
      </c>
    </row>
    <row r="36" spans="3:9" x14ac:dyDescent="0.3">
      <c r="I36" s="78"/>
    </row>
  </sheetData>
  <phoneticPr fontId="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5AC3-5CC3-413A-B326-FF87E35F4BC6}">
  <dimension ref="A1:O46"/>
  <sheetViews>
    <sheetView workbookViewId="0">
      <selection activeCell="F17" sqref="F17:H21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8" style="35" bestFit="1" customWidth="1"/>
    <col min="7" max="7" width="6.6328125" style="35" bestFit="1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44597</v>
      </c>
      <c r="B3" s="90">
        <v>10</v>
      </c>
      <c r="C3" s="51">
        <v>63534387</v>
      </c>
      <c r="D3" s="51">
        <v>8330000</v>
      </c>
      <c r="F3" s="10">
        <v>44961</v>
      </c>
      <c r="G3" s="90">
        <v>10</v>
      </c>
      <c r="H3" s="51">
        <v>64528429</v>
      </c>
      <c r="I3" s="51">
        <v>8750000</v>
      </c>
      <c r="J3" s="45"/>
      <c r="K3" s="49">
        <f t="shared" ref="K3:L10" si="0">G3-B3</f>
        <v>0</v>
      </c>
      <c r="L3" s="38">
        <f t="shared" si="0"/>
        <v>994042</v>
      </c>
      <c r="M3" s="38">
        <f>D3-I3</f>
        <v>-420000</v>
      </c>
    </row>
    <row r="4" spans="1:15" ht="14.5" x14ac:dyDescent="0.35">
      <c r="A4" s="10">
        <v>44598</v>
      </c>
      <c r="B4" s="93">
        <v>9</v>
      </c>
      <c r="C4" s="51">
        <v>47141867</v>
      </c>
      <c r="D4" s="51">
        <v>6910000</v>
      </c>
      <c r="F4" s="10">
        <v>44962</v>
      </c>
      <c r="G4" s="93">
        <v>9</v>
      </c>
      <c r="H4" s="51">
        <v>55132420</v>
      </c>
      <c r="I4" s="51">
        <v>7210000</v>
      </c>
      <c r="J4" s="45"/>
      <c r="K4" s="49">
        <f t="shared" si="0"/>
        <v>0</v>
      </c>
      <c r="L4" s="38">
        <f t="shared" si="0"/>
        <v>7990553</v>
      </c>
      <c r="M4" s="38">
        <f t="shared" ref="M4:M11" si="1">D4-I4</f>
        <v>-300000</v>
      </c>
    </row>
    <row r="5" spans="1:15" ht="14.5" x14ac:dyDescent="0.35">
      <c r="A5" s="10">
        <v>44604</v>
      </c>
      <c r="B5" s="93">
        <v>9</v>
      </c>
      <c r="C5" s="51">
        <v>59362372</v>
      </c>
      <c r="D5" s="51">
        <v>6690000</v>
      </c>
      <c r="F5" s="10">
        <v>44968</v>
      </c>
      <c r="G5" s="93">
        <v>10</v>
      </c>
      <c r="H5" s="51">
        <v>69600953</v>
      </c>
      <c r="I5" s="51">
        <v>7960000</v>
      </c>
      <c r="J5" s="45"/>
      <c r="K5" s="49">
        <f t="shared" si="0"/>
        <v>1</v>
      </c>
      <c r="L5" s="38">
        <f t="shared" si="0"/>
        <v>10238581</v>
      </c>
      <c r="M5" s="38">
        <f t="shared" si="1"/>
        <v>-1270000</v>
      </c>
    </row>
    <row r="6" spans="1:15" ht="14.5" x14ac:dyDescent="0.35">
      <c r="A6" s="10">
        <v>44605</v>
      </c>
      <c r="B6" s="93">
        <v>9</v>
      </c>
      <c r="C6" s="51">
        <v>45515620.520000003</v>
      </c>
      <c r="D6" s="51">
        <v>7230000</v>
      </c>
      <c r="F6" s="10">
        <v>44975</v>
      </c>
      <c r="G6" s="93">
        <v>9</v>
      </c>
      <c r="H6" s="51">
        <v>70987307</v>
      </c>
      <c r="I6" s="51">
        <v>7940000</v>
      </c>
      <c r="J6" s="45"/>
      <c r="K6" s="49">
        <f t="shared" si="0"/>
        <v>0</v>
      </c>
      <c r="L6" s="38">
        <f t="shared" si="0"/>
        <v>25471686.479999997</v>
      </c>
      <c r="M6" s="38">
        <f t="shared" si="1"/>
        <v>-710000</v>
      </c>
    </row>
    <row r="7" spans="1:15" ht="14.5" x14ac:dyDescent="0.35">
      <c r="A7" s="10">
        <v>44611</v>
      </c>
      <c r="B7" s="93">
        <v>10</v>
      </c>
      <c r="C7" s="51">
        <v>61567348</v>
      </c>
      <c r="D7" s="51">
        <v>7660000</v>
      </c>
      <c r="F7" s="10">
        <v>44979</v>
      </c>
      <c r="G7" s="93">
        <v>9</v>
      </c>
      <c r="H7" s="51">
        <v>61084760</v>
      </c>
      <c r="I7" s="51">
        <v>7380000</v>
      </c>
      <c r="J7" s="45"/>
      <c r="K7" s="49">
        <f t="shared" si="0"/>
        <v>-1</v>
      </c>
      <c r="L7" s="38">
        <f t="shared" si="0"/>
        <v>-482588</v>
      </c>
      <c r="M7" s="38">
        <f t="shared" si="1"/>
        <v>280000</v>
      </c>
    </row>
    <row r="8" spans="1:15" ht="14.5" x14ac:dyDescent="0.35">
      <c r="A8" s="10">
        <v>44612</v>
      </c>
      <c r="B8" s="93">
        <v>9</v>
      </c>
      <c r="C8" s="51">
        <v>55370845</v>
      </c>
      <c r="D8" s="51">
        <f>650000+730000+730000+800000+650000+740000+1050000+670000+920000</f>
        <v>6940000</v>
      </c>
      <c r="F8" s="10">
        <v>44982</v>
      </c>
      <c r="G8" s="93">
        <v>10</v>
      </c>
      <c r="H8" s="51">
        <v>65379199</v>
      </c>
      <c r="I8" s="51">
        <v>8770000</v>
      </c>
      <c r="J8" s="45"/>
      <c r="K8" s="49">
        <f t="shared" si="0"/>
        <v>1</v>
      </c>
      <c r="L8" s="38">
        <f t="shared" si="0"/>
        <v>10008354</v>
      </c>
      <c r="M8" s="38">
        <f t="shared" si="1"/>
        <v>-1830000</v>
      </c>
    </row>
    <row r="9" spans="1:15" ht="14.5" x14ac:dyDescent="0.35">
      <c r="A9" s="10">
        <v>44618</v>
      </c>
      <c r="B9" s="107">
        <v>10</v>
      </c>
      <c r="C9" s="51">
        <v>73918760</v>
      </c>
      <c r="D9" s="108">
        <v>8310000</v>
      </c>
      <c r="F9" s="10">
        <v>44983</v>
      </c>
      <c r="G9" s="107">
        <v>11</v>
      </c>
      <c r="H9" s="51">
        <v>69146621</v>
      </c>
      <c r="I9" s="108">
        <v>9100000</v>
      </c>
      <c r="J9" s="45"/>
      <c r="K9" s="49">
        <f t="shared" si="0"/>
        <v>1</v>
      </c>
      <c r="L9" s="38">
        <f t="shared" si="0"/>
        <v>-4772139</v>
      </c>
      <c r="M9" s="38">
        <f t="shared" si="1"/>
        <v>-790000</v>
      </c>
      <c r="O9" s="35" t="s">
        <v>82</v>
      </c>
    </row>
    <row r="10" spans="1:15" ht="14.5" x14ac:dyDescent="0.35">
      <c r="A10" s="10"/>
      <c r="B10" s="93"/>
      <c r="C10" s="108"/>
      <c r="D10" s="51"/>
      <c r="F10" s="10"/>
      <c r="G10" s="49"/>
      <c r="H10" s="51"/>
      <c r="I10" s="43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t="14.5" x14ac:dyDescent="0.35">
      <c r="A11" s="10"/>
      <c r="B11" s="93"/>
      <c r="C11" s="108"/>
      <c r="D11" s="120"/>
      <c r="F11" s="10"/>
      <c r="G11" s="49"/>
      <c r="H11" s="51"/>
      <c r="I11" s="38"/>
      <c r="J11" s="45"/>
      <c r="K11" s="121"/>
      <c r="L11" s="38"/>
      <c r="M11" s="38">
        <f t="shared" si="1"/>
        <v>0</v>
      </c>
    </row>
    <row r="12" spans="1:15" ht="15" thickBot="1" x14ac:dyDescent="0.4">
      <c r="A12" s="52" t="s">
        <v>66</v>
      </c>
      <c r="B12" s="52">
        <f>SUM(B3:B10)</f>
        <v>66</v>
      </c>
      <c r="C12" s="39">
        <f>SUM(C3:C10)</f>
        <v>406411199.51999998</v>
      </c>
      <c r="D12" s="54">
        <f>SUM(D3:D10)</f>
        <v>52070000</v>
      </c>
      <c r="F12" s="52" t="s">
        <v>66</v>
      </c>
      <c r="G12" s="52">
        <f>SUM(G3:G11)</f>
        <v>68</v>
      </c>
      <c r="H12" s="39">
        <f>SUM(H3:H11)</f>
        <v>455859689</v>
      </c>
      <c r="I12" s="39">
        <f>SUM(I3:I11)</f>
        <v>57110000</v>
      </c>
      <c r="J12" s="46"/>
      <c r="K12" s="14">
        <f>G12-B12</f>
        <v>2</v>
      </c>
      <c r="L12" s="39">
        <f>SUM(L3:L11)</f>
        <v>49448489.479999997</v>
      </c>
      <c r="M12" s="39">
        <f>SUM(M3:M11)</f>
        <v>-5040000</v>
      </c>
    </row>
    <row r="13" spans="1:15" ht="13.5" thickTop="1" x14ac:dyDescent="0.3">
      <c r="A13" s="65" t="s">
        <v>72</v>
      </c>
      <c r="B13" s="62">
        <f>SUM(B3:B10)/COUNT(B3:B10)</f>
        <v>9.4285714285714288</v>
      </c>
      <c r="C13" s="63">
        <f>SUM(C3:C10)/COUNT(C3:C10)</f>
        <v>58058742.788571425</v>
      </c>
      <c r="D13" s="63">
        <f>SUM(D3:D10)/COUNT(D3:D10)</f>
        <v>7438571.4285714282</v>
      </c>
      <c r="F13" s="59"/>
      <c r="G13" s="60">
        <f>SUM(G3:G11)/COUNT(G3:G10)</f>
        <v>9.7142857142857135</v>
      </c>
      <c r="H13" s="61">
        <f>SUM(H3:H11)/COUNT(H3:H11)</f>
        <v>65122812.714285716</v>
      </c>
      <c r="I13" s="61">
        <f>SUM(I3:I11)/COUNT(I3:I11)</f>
        <v>8158571.4285714282</v>
      </c>
      <c r="J13" s="48"/>
      <c r="K13" s="62">
        <f>SUM(K3:K11)/COUNT(K3:K10)</f>
        <v>0.25</v>
      </c>
      <c r="L13" s="63">
        <f>SUM(L3:L11)/COUNT(L3:L10)</f>
        <v>6181061.1849999996</v>
      </c>
      <c r="M13" s="63">
        <f>SUM(M3:M11)/COUNT(M3:M10)</f>
        <v>-630000</v>
      </c>
    </row>
    <row r="14" spans="1:15" hidden="1" x14ac:dyDescent="0.3">
      <c r="H14" s="78">
        <f>H12/G12</f>
        <v>6703818.9558823528</v>
      </c>
    </row>
    <row r="15" spans="1:15" x14ac:dyDescent="0.3">
      <c r="A15" s="34" t="s">
        <v>71</v>
      </c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3" ht="14.5" x14ac:dyDescent="0.35">
      <c r="A17" s="73">
        <v>44597</v>
      </c>
      <c r="B17" s="68">
        <v>5</v>
      </c>
      <c r="C17" s="74">
        <v>68390355.260000005</v>
      </c>
      <c r="D17" s="74">
        <f>C17/B17</f>
        <v>13678071.052000001</v>
      </c>
      <c r="F17" s="10">
        <v>44961</v>
      </c>
      <c r="G17" s="68">
        <v>4</v>
      </c>
      <c r="H17" s="113">
        <f>38647423.84+19416346.66</f>
        <v>58063770.5</v>
      </c>
      <c r="I17" s="69">
        <f>H17/G17</f>
        <v>14515942.625</v>
      </c>
      <c r="J17" s="45"/>
      <c r="K17" s="68">
        <f t="shared" ref="K17:L22" si="2">G17-B17</f>
        <v>-1</v>
      </c>
      <c r="L17" s="69">
        <f>H17-C17</f>
        <v>-10326584.760000005</v>
      </c>
      <c r="M17" s="69"/>
    </row>
    <row r="18" spans="1:13" ht="14.5" x14ac:dyDescent="0.35">
      <c r="A18" s="73">
        <v>44604</v>
      </c>
      <c r="B18" s="68">
        <v>7</v>
      </c>
      <c r="C18" s="74">
        <f>82504072.88</f>
        <v>82504072.879999995</v>
      </c>
      <c r="D18" s="74">
        <f t="shared" ref="D18:D21" si="3">C18/B18</f>
        <v>11786296.125714285</v>
      </c>
      <c r="F18" s="10">
        <v>44968</v>
      </c>
      <c r="G18" s="68">
        <v>7</v>
      </c>
      <c r="H18" s="74">
        <v>92398625.950000003</v>
      </c>
      <c r="I18" s="69">
        <f t="shared" ref="I18:I21" si="4">H18/G18</f>
        <v>13199803.707142858</v>
      </c>
      <c r="J18" s="45"/>
      <c r="K18" s="68">
        <f t="shared" si="2"/>
        <v>0</v>
      </c>
      <c r="L18" s="69">
        <f>H18-C18</f>
        <v>9894553.0700000077</v>
      </c>
      <c r="M18" s="69"/>
    </row>
    <row r="19" spans="1:13" ht="14.5" x14ac:dyDescent="0.35">
      <c r="A19" s="73">
        <v>44611</v>
      </c>
      <c r="B19" s="68">
        <v>7</v>
      </c>
      <c r="C19" s="74">
        <v>79714143.859999999</v>
      </c>
      <c r="D19" s="74">
        <f t="shared" si="3"/>
        <v>11387734.837142857</v>
      </c>
      <c r="F19" s="10">
        <v>44975</v>
      </c>
      <c r="G19" s="68">
        <v>7</v>
      </c>
      <c r="H19" s="74">
        <v>86361041.670000002</v>
      </c>
      <c r="I19" s="69">
        <f t="shared" si="4"/>
        <v>12337291.667142857</v>
      </c>
      <c r="J19" s="45"/>
      <c r="K19" s="68">
        <f t="shared" si="2"/>
        <v>0</v>
      </c>
      <c r="L19" s="69">
        <f>H19-C19</f>
        <v>6646897.8100000024</v>
      </c>
      <c r="M19" s="69"/>
    </row>
    <row r="20" spans="1:13" ht="14.5" x14ac:dyDescent="0.35">
      <c r="A20" s="73">
        <v>44618</v>
      </c>
      <c r="B20" s="68">
        <v>7</v>
      </c>
      <c r="C20" s="74">
        <v>87441734.819999993</v>
      </c>
      <c r="D20" s="74">
        <f t="shared" si="3"/>
        <v>12491676.402857142</v>
      </c>
      <c r="F20" s="10">
        <v>44982</v>
      </c>
      <c r="G20" s="68">
        <v>7</v>
      </c>
      <c r="H20" s="74">
        <v>94599408.209999993</v>
      </c>
      <c r="I20" s="69">
        <f t="shared" si="4"/>
        <v>13514201.172857141</v>
      </c>
      <c r="J20" s="45"/>
      <c r="K20" s="68">
        <f t="shared" si="2"/>
        <v>0</v>
      </c>
      <c r="L20" s="69">
        <f t="shared" si="2"/>
        <v>7157673.3900000006</v>
      </c>
      <c r="M20" s="69"/>
    </row>
    <row r="21" spans="1:13" ht="14.5" x14ac:dyDescent="0.35">
      <c r="A21" s="73">
        <v>44620</v>
      </c>
      <c r="B21" s="68">
        <v>2</v>
      </c>
      <c r="C21" s="74">
        <f>8329880.4+12191734.29</f>
        <v>20521614.689999998</v>
      </c>
      <c r="D21" s="74">
        <f t="shared" si="3"/>
        <v>10260807.344999999</v>
      </c>
      <c r="F21" s="10">
        <v>44985</v>
      </c>
      <c r="G21" s="68">
        <v>3</v>
      </c>
      <c r="H21" s="106">
        <v>28134731.25</v>
      </c>
      <c r="I21" s="69">
        <f t="shared" si="4"/>
        <v>9378243.75</v>
      </c>
      <c r="J21" s="45"/>
      <c r="K21" s="68">
        <f t="shared" si="2"/>
        <v>1</v>
      </c>
      <c r="L21" s="69">
        <f t="shared" si="2"/>
        <v>7613116.5600000024</v>
      </c>
      <c r="M21" s="69"/>
    </row>
    <row r="22" spans="1:13" ht="14.5" x14ac:dyDescent="0.35">
      <c r="A22" s="73"/>
      <c r="B22" s="68"/>
      <c r="C22" s="74"/>
      <c r="D22" s="74"/>
      <c r="F22" s="10"/>
      <c r="G22" s="68"/>
      <c r="H22" s="106"/>
      <c r="I22" s="69"/>
      <c r="J22" s="45"/>
      <c r="K22" s="68"/>
      <c r="L22" s="69">
        <f t="shared" si="2"/>
        <v>0</v>
      </c>
      <c r="M22" s="69"/>
    </row>
    <row r="23" spans="1:13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3" ht="13.5" thickBot="1" x14ac:dyDescent="0.35">
      <c r="A24" s="75" t="s">
        <v>66</v>
      </c>
      <c r="B24" s="75">
        <f>SUM(B17:B22)</f>
        <v>28</v>
      </c>
      <c r="C24" s="88">
        <f>SUM(C17:C22)</f>
        <v>338571921.50999999</v>
      </c>
      <c r="D24" s="88">
        <f>C24/B24</f>
        <v>12091854.339642856</v>
      </c>
      <c r="F24" s="75" t="s">
        <v>66</v>
      </c>
      <c r="G24" s="75">
        <f>SUM(G17:G23)</f>
        <v>28</v>
      </c>
      <c r="H24" s="70">
        <f>SUM(H17:H22)</f>
        <v>359557577.57999998</v>
      </c>
      <c r="I24" s="70">
        <f>H24/G24</f>
        <v>12841342.05642857</v>
      </c>
      <c r="J24" s="46"/>
      <c r="K24" s="68">
        <f>SUM(K17:K23)</f>
        <v>0</v>
      </c>
      <c r="L24" s="70">
        <f>SUM(L17:L23)</f>
        <v>20985656.070000008</v>
      </c>
      <c r="M24" s="70"/>
    </row>
    <row r="25" spans="1:13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35">
      <c r="A26" s="71" t="s">
        <v>67</v>
      </c>
      <c r="B26" s="71"/>
      <c r="C26" s="72">
        <f>C12+C24</f>
        <v>744983121.02999997</v>
      </c>
      <c r="D26" s="72"/>
      <c r="E26" s="41"/>
      <c r="F26" s="71" t="s">
        <v>67</v>
      </c>
      <c r="G26" s="71"/>
      <c r="H26" s="72">
        <f>H12+H24</f>
        <v>815417266.57999992</v>
      </c>
      <c r="I26" s="72"/>
      <c r="J26" s="46"/>
      <c r="K26" s="71"/>
      <c r="L26" s="72">
        <f>L24+L12</f>
        <v>70434145.550000012</v>
      </c>
      <c r="M26" s="72"/>
    </row>
    <row r="27" spans="1:13" ht="13.5" thickTop="1" x14ac:dyDescent="0.3"/>
    <row r="31" spans="1:13" x14ac:dyDescent="0.3">
      <c r="H31" s="122"/>
    </row>
    <row r="32" spans="1:13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78"/>
    </row>
    <row r="40" spans="3:9" ht="15.5" x14ac:dyDescent="0.35">
      <c r="G40" s="123"/>
      <c r="H40" s="124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46A7-7D9E-47B4-B2AD-186534CAC795}">
  <dimension ref="A1:O46"/>
  <sheetViews>
    <sheetView topLeftCell="A9" workbookViewId="0">
      <selection activeCell="F17" sqref="F17:H21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8" style="35" bestFit="1" customWidth="1"/>
    <col min="7" max="7" width="6.6328125" style="35" bestFit="1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44622</v>
      </c>
      <c r="B3" s="90">
        <v>10</v>
      </c>
      <c r="C3" s="51">
        <v>60556266</v>
      </c>
      <c r="D3" s="51">
        <v>7700000</v>
      </c>
      <c r="F3" s="10">
        <v>44989</v>
      </c>
      <c r="G3" s="90">
        <v>10</v>
      </c>
      <c r="H3" s="51">
        <v>59778864</v>
      </c>
      <c r="I3" s="51">
        <v>9240000</v>
      </c>
      <c r="J3" s="45"/>
      <c r="K3" s="49">
        <f t="shared" ref="K3:L10" si="0">G3-B3</f>
        <v>0</v>
      </c>
      <c r="L3" s="38">
        <f t="shared" si="0"/>
        <v>-777402</v>
      </c>
      <c r="M3" s="38">
        <f>D3-I3</f>
        <v>-1540000</v>
      </c>
    </row>
    <row r="4" spans="1:15" ht="14.5" x14ac:dyDescent="0.35">
      <c r="A4" s="10">
        <v>44625</v>
      </c>
      <c r="B4" s="93">
        <v>10</v>
      </c>
      <c r="C4" s="51">
        <v>65047776.990000002</v>
      </c>
      <c r="D4" s="51">
        <v>8250000</v>
      </c>
      <c r="F4" s="10">
        <v>44990</v>
      </c>
      <c r="G4" s="93">
        <v>9</v>
      </c>
      <c r="H4" s="51">
        <v>56561977.270000003</v>
      </c>
      <c r="I4" s="51">
        <v>7260000</v>
      </c>
      <c r="J4" s="45"/>
      <c r="K4" s="49">
        <f t="shared" si="0"/>
        <v>-1</v>
      </c>
      <c r="L4" s="38">
        <f t="shared" si="0"/>
        <v>-8485799.7199999988</v>
      </c>
      <c r="M4" s="38">
        <f t="shared" ref="M4:M11" si="1">D4-I4</f>
        <v>990000</v>
      </c>
    </row>
    <row r="5" spans="1:15" ht="14.5" x14ac:dyDescent="0.35">
      <c r="A5" s="10">
        <v>44632</v>
      </c>
      <c r="B5" s="93">
        <v>10</v>
      </c>
      <c r="C5" s="51">
        <v>64399373</v>
      </c>
      <c r="D5" s="51">
        <v>8080000</v>
      </c>
      <c r="F5" s="10">
        <v>44996</v>
      </c>
      <c r="G5" s="93">
        <v>9</v>
      </c>
      <c r="H5" s="51">
        <v>62963462</v>
      </c>
      <c r="I5" s="51">
        <v>8040000</v>
      </c>
      <c r="J5" s="45"/>
      <c r="K5" s="49">
        <f t="shared" si="0"/>
        <v>-1</v>
      </c>
      <c r="L5" s="38">
        <f t="shared" si="0"/>
        <v>-1435911</v>
      </c>
      <c r="M5" s="38">
        <f t="shared" si="1"/>
        <v>40000</v>
      </c>
    </row>
    <row r="6" spans="1:15" ht="14.5" x14ac:dyDescent="0.35">
      <c r="A6" s="10">
        <v>44633</v>
      </c>
      <c r="B6" s="93">
        <v>9</v>
      </c>
      <c r="C6" s="51">
        <v>51505823</v>
      </c>
      <c r="D6" s="51">
        <v>7310000</v>
      </c>
      <c r="F6" s="10">
        <v>44997</v>
      </c>
      <c r="G6" s="93">
        <v>9</v>
      </c>
      <c r="H6" s="51">
        <v>54471941.030000001</v>
      </c>
      <c r="I6" s="51">
        <v>7650000</v>
      </c>
      <c r="J6" s="45"/>
      <c r="K6" s="49">
        <f t="shared" si="0"/>
        <v>0</v>
      </c>
      <c r="L6" s="38">
        <f t="shared" si="0"/>
        <v>2966118.0300000012</v>
      </c>
      <c r="M6" s="38">
        <f t="shared" si="1"/>
        <v>-340000</v>
      </c>
    </row>
    <row r="7" spans="1:15" ht="14.5" x14ac:dyDescent="0.35">
      <c r="A7" s="10">
        <v>44639</v>
      </c>
      <c r="B7" s="93">
        <v>10</v>
      </c>
      <c r="C7" s="51">
        <v>63934493.590000004</v>
      </c>
      <c r="D7" s="51">
        <v>8510000</v>
      </c>
      <c r="F7" s="10">
        <v>45003</v>
      </c>
      <c r="G7" s="93">
        <v>9</v>
      </c>
      <c r="H7" s="51">
        <v>65459742.329999998</v>
      </c>
      <c r="I7" s="51">
        <v>7300000</v>
      </c>
      <c r="J7" s="45"/>
      <c r="K7" s="49">
        <f t="shared" si="0"/>
        <v>-1</v>
      </c>
      <c r="L7" s="38">
        <f t="shared" si="0"/>
        <v>1525248.7399999946</v>
      </c>
      <c r="M7" s="38">
        <f t="shared" si="1"/>
        <v>1210000</v>
      </c>
    </row>
    <row r="8" spans="1:15" ht="14.5" x14ac:dyDescent="0.35">
      <c r="A8" s="10">
        <v>44646</v>
      </c>
      <c r="B8" s="93">
        <v>11</v>
      </c>
      <c r="C8" s="51">
        <v>69712942</v>
      </c>
      <c r="D8" s="51">
        <v>8280000</v>
      </c>
      <c r="F8" s="10">
        <v>45004</v>
      </c>
      <c r="G8" s="93">
        <v>10</v>
      </c>
      <c r="H8" s="51">
        <v>65687344.659999996</v>
      </c>
      <c r="I8" s="51">
        <v>8210000</v>
      </c>
      <c r="J8" s="45"/>
      <c r="K8" s="49">
        <f t="shared" si="0"/>
        <v>-1</v>
      </c>
      <c r="L8" s="38">
        <f t="shared" si="0"/>
        <v>-4025597.3400000036</v>
      </c>
      <c r="M8" s="38">
        <f t="shared" si="1"/>
        <v>70000</v>
      </c>
    </row>
    <row r="9" spans="1:15" ht="14.5" x14ac:dyDescent="0.35">
      <c r="A9" s="10">
        <v>44647</v>
      </c>
      <c r="B9" s="107">
        <v>10</v>
      </c>
      <c r="C9" s="51">
        <v>65889462.729999997</v>
      </c>
      <c r="D9" s="108">
        <v>7620000</v>
      </c>
      <c r="F9" s="10">
        <v>45010</v>
      </c>
      <c r="G9" s="107">
        <v>10</v>
      </c>
      <c r="H9" s="51">
        <v>77870439</v>
      </c>
      <c r="I9" s="108">
        <v>8410000</v>
      </c>
      <c r="J9" s="45"/>
      <c r="K9" s="49">
        <f t="shared" si="0"/>
        <v>0</v>
      </c>
      <c r="L9" s="38">
        <f t="shared" si="0"/>
        <v>11980976.270000003</v>
      </c>
      <c r="M9" s="38">
        <f t="shared" si="1"/>
        <v>-790000</v>
      </c>
      <c r="O9" s="35" t="s">
        <v>82</v>
      </c>
    </row>
    <row r="10" spans="1:15" ht="14.5" x14ac:dyDescent="0.35">
      <c r="A10" s="10"/>
      <c r="B10" s="93"/>
      <c r="C10" s="108"/>
      <c r="D10" s="51"/>
      <c r="F10" s="10"/>
      <c r="G10" s="49"/>
      <c r="H10" s="51"/>
      <c r="I10" s="43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t="14.5" x14ac:dyDescent="0.35">
      <c r="A11" s="10"/>
      <c r="B11" s="93"/>
      <c r="C11" s="108"/>
      <c r="D11" s="120"/>
      <c r="F11" s="10"/>
      <c r="G11" s="49"/>
      <c r="H11" s="51"/>
      <c r="I11" s="38"/>
      <c r="J11" s="45"/>
      <c r="K11" s="121"/>
      <c r="L11" s="38"/>
      <c r="M11" s="38">
        <f t="shared" si="1"/>
        <v>0</v>
      </c>
    </row>
    <row r="12" spans="1:15" ht="15" thickBot="1" x14ac:dyDescent="0.4">
      <c r="A12" s="52" t="s">
        <v>66</v>
      </c>
      <c r="B12" s="52">
        <f>SUM(B3:B10)</f>
        <v>70</v>
      </c>
      <c r="C12" s="39">
        <f>SUM(C3:C10)</f>
        <v>441046137.31000006</v>
      </c>
      <c r="D12" s="54">
        <f>SUM(D3:D10)</f>
        <v>55750000</v>
      </c>
      <c r="F12" s="52" t="s">
        <v>66</v>
      </c>
      <c r="G12" s="52">
        <f>SUM(G3:G11)</f>
        <v>66</v>
      </c>
      <c r="H12" s="39">
        <f>SUM(H3:H11)</f>
        <v>442793770.28999996</v>
      </c>
      <c r="I12" s="39">
        <f>SUM(I3:I11)</f>
        <v>56110000</v>
      </c>
      <c r="J12" s="46"/>
      <c r="K12" s="14">
        <f>G12-B12</f>
        <v>-4</v>
      </c>
      <c r="L12" s="39">
        <f>SUM(L3:L11)</f>
        <v>1747632.9799999967</v>
      </c>
      <c r="M12" s="39">
        <f>SUM(M3:M11)</f>
        <v>-360000</v>
      </c>
    </row>
    <row r="13" spans="1:15" ht="13.5" thickTop="1" x14ac:dyDescent="0.3">
      <c r="A13" s="65" t="s">
        <v>72</v>
      </c>
      <c r="B13" s="62">
        <f>SUM(B3:B10)/COUNT(B3:B10)</f>
        <v>10</v>
      </c>
      <c r="C13" s="63">
        <f>SUM(C3:C10)/COUNT(C3:C10)</f>
        <v>63006591.044285722</v>
      </c>
      <c r="D13" s="63">
        <f>SUM(D3:D10)/COUNT(D3:D10)</f>
        <v>7964285.7142857146</v>
      </c>
      <c r="F13" s="59"/>
      <c r="G13" s="60">
        <f>SUM(G3:G11)/COUNT(G3:G10)</f>
        <v>9.4285714285714288</v>
      </c>
      <c r="H13" s="61">
        <f>SUM(H3:H11)/COUNT(H3:H11)</f>
        <v>63256252.898571424</v>
      </c>
      <c r="I13" s="61">
        <f>SUM(I3:I11)/COUNT(I3:I11)</f>
        <v>8015714.2857142854</v>
      </c>
      <c r="J13" s="48"/>
      <c r="K13" s="62">
        <f>SUM(K3:K11)/COUNT(K3:K10)</f>
        <v>-0.5</v>
      </c>
      <c r="L13" s="63">
        <f>SUM(L3:L11)/COUNT(L3:L10)</f>
        <v>218454.12249999959</v>
      </c>
      <c r="M13" s="63">
        <f>SUM(M3:M11)/COUNT(M3:M10)</f>
        <v>-45000</v>
      </c>
    </row>
    <row r="14" spans="1:15" hidden="1" x14ac:dyDescent="0.3">
      <c r="H14" s="78">
        <f>H12/G12</f>
        <v>6708996.5195454536</v>
      </c>
    </row>
    <row r="15" spans="1:15" x14ac:dyDescent="0.3">
      <c r="A15" s="34" t="s">
        <v>71</v>
      </c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3" ht="14.5" x14ac:dyDescent="0.35">
      <c r="A17" s="73">
        <v>44625</v>
      </c>
      <c r="B17" s="68">
        <v>5</v>
      </c>
      <c r="C17" s="74">
        <v>61813818.509999998</v>
      </c>
      <c r="D17" s="74">
        <f>C17/B17</f>
        <v>12362763.702</v>
      </c>
      <c r="F17" s="10">
        <v>44989</v>
      </c>
      <c r="G17" s="68">
        <v>4</v>
      </c>
      <c r="H17" s="113">
        <v>58816584.469999999</v>
      </c>
      <c r="I17" s="69">
        <f>H17/G17</f>
        <v>14704146.1175</v>
      </c>
      <c r="J17" s="45"/>
      <c r="K17" s="68">
        <f t="shared" ref="K17:L22" si="2">G17-B17</f>
        <v>-1</v>
      </c>
      <c r="L17" s="69">
        <f>H17-C17</f>
        <v>-2997234.0399999991</v>
      </c>
      <c r="M17" s="69"/>
    </row>
    <row r="18" spans="1:13" ht="14.5" x14ac:dyDescent="0.35">
      <c r="A18" s="73">
        <v>44632</v>
      </c>
      <c r="B18" s="68">
        <v>7</v>
      </c>
      <c r="C18" s="74">
        <f>68245820.34+18113655.45</f>
        <v>86359475.790000007</v>
      </c>
      <c r="D18" s="74">
        <f t="shared" ref="D18:D21" si="3">C18/B18</f>
        <v>12337067.970000001</v>
      </c>
      <c r="F18" s="10">
        <v>44996</v>
      </c>
      <c r="G18" s="68">
        <v>7</v>
      </c>
      <c r="H18" s="113">
        <v>88481494.599999994</v>
      </c>
      <c r="I18" s="69">
        <f t="shared" ref="I18:I21" si="4">H18/G18</f>
        <v>12640213.514285713</v>
      </c>
      <c r="J18" s="45"/>
      <c r="K18" s="68">
        <f t="shared" si="2"/>
        <v>0</v>
      </c>
      <c r="L18" s="69">
        <f>H18-C18</f>
        <v>2122018.8099999875</v>
      </c>
      <c r="M18" s="69"/>
    </row>
    <row r="19" spans="1:13" ht="14.5" x14ac:dyDescent="0.35">
      <c r="A19" s="73">
        <v>44639</v>
      </c>
      <c r="B19" s="68">
        <v>7</v>
      </c>
      <c r="C19" s="74">
        <f>64588755.62+19000000</f>
        <v>83588755.620000005</v>
      </c>
      <c r="D19" s="74">
        <f t="shared" si="3"/>
        <v>11941250.802857144</v>
      </c>
      <c r="F19" s="10">
        <v>45003</v>
      </c>
      <c r="G19" s="68">
        <v>7</v>
      </c>
      <c r="H19" s="74">
        <v>84210837.200000003</v>
      </c>
      <c r="I19" s="69">
        <f t="shared" si="4"/>
        <v>12030119.6</v>
      </c>
      <c r="J19" s="45"/>
      <c r="K19" s="68">
        <f t="shared" si="2"/>
        <v>0</v>
      </c>
      <c r="L19" s="69">
        <f>H19-C19</f>
        <v>622081.57999999821</v>
      </c>
      <c r="M19" s="69"/>
    </row>
    <row r="20" spans="1:13" ht="14.5" x14ac:dyDescent="0.35">
      <c r="A20" s="73">
        <v>44646</v>
      </c>
      <c r="B20" s="68">
        <v>7</v>
      </c>
      <c r="C20" s="74">
        <f>11180009.08+5785562.16+9452287.28+11719297.95+11070101.76+14444637.87+20366858.38</f>
        <v>84018754.479999989</v>
      </c>
      <c r="D20" s="74">
        <f t="shared" si="3"/>
        <v>12002679.21142857</v>
      </c>
      <c r="F20" s="10">
        <v>45010</v>
      </c>
      <c r="G20" s="68">
        <v>7</v>
      </c>
      <c r="H20" s="74">
        <v>82408362.900000006</v>
      </c>
      <c r="I20" s="69">
        <f t="shared" si="4"/>
        <v>11772623.271428572</v>
      </c>
      <c r="J20" s="45"/>
      <c r="K20" s="68">
        <f t="shared" si="2"/>
        <v>0</v>
      </c>
      <c r="L20" s="69">
        <f t="shared" si="2"/>
        <v>-1610391.5799999833</v>
      </c>
      <c r="M20" s="69"/>
    </row>
    <row r="21" spans="1:13" ht="14.5" x14ac:dyDescent="0.35">
      <c r="A21" s="73">
        <v>44651</v>
      </c>
      <c r="B21" s="68">
        <v>5</v>
      </c>
      <c r="C21" s="74">
        <f>13235493.92+5670808.41+6695677.6+9700000</f>
        <v>35301979.93</v>
      </c>
      <c r="D21" s="74">
        <f t="shared" si="3"/>
        <v>7060395.9859999996</v>
      </c>
      <c r="F21" s="10">
        <v>45016</v>
      </c>
      <c r="G21" s="68">
        <v>6</v>
      </c>
      <c r="H21" s="74">
        <v>70262573.590000004</v>
      </c>
      <c r="I21" s="69">
        <f t="shared" si="4"/>
        <v>11710428.931666667</v>
      </c>
      <c r="J21" s="45"/>
      <c r="K21" s="68">
        <f t="shared" si="2"/>
        <v>1</v>
      </c>
      <c r="L21" s="69">
        <f t="shared" si="2"/>
        <v>34960593.660000004</v>
      </c>
      <c r="M21" s="69"/>
    </row>
    <row r="22" spans="1:13" ht="14.5" x14ac:dyDescent="0.35">
      <c r="A22" s="73"/>
      <c r="B22" s="68"/>
      <c r="C22" s="106"/>
      <c r="D22" s="74"/>
      <c r="F22" s="10"/>
      <c r="G22" s="68"/>
      <c r="H22" s="106"/>
      <c r="I22" s="69"/>
      <c r="J22" s="45"/>
      <c r="K22" s="68"/>
      <c r="L22" s="69">
        <f t="shared" si="2"/>
        <v>0</v>
      </c>
      <c r="M22" s="69"/>
    </row>
    <row r="23" spans="1:13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3" ht="13.5" thickBot="1" x14ac:dyDescent="0.35">
      <c r="A24" s="75" t="s">
        <v>66</v>
      </c>
      <c r="B24" s="75">
        <f>SUM(B17:B22)</f>
        <v>31</v>
      </c>
      <c r="C24" s="88">
        <f>SUM(C17:C22)</f>
        <v>351082784.32999998</v>
      </c>
      <c r="D24" s="88">
        <f>C24/B24</f>
        <v>11325251.107419355</v>
      </c>
      <c r="F24" s="75" t="s">
        <v>66</v>
      </c>
      <c r="G24" s="75">
        <f>SUM(G17:G23)</f>
        <v>31</v>
      </c>
      <c r="H24" s="70">
        <f>SUM(H17:H22)</f>
        <v>384179852.75999999</v>
      </c>
      <c r="I24" s="70">
        <f>H24/G24</f>
        <v>12392898.476129033</v>
      </c>
      <c r="J24" s="46"/>
      <c r="K24" s="68">
        <f>SUM(K17:K23)</f>
        <v>0</v>
      </c>
      <c r="L24" s="70">
        <f>SUM(L17:L23)</f>
        <v>33097068.430000007</v>
      </c>
      <c r="M24" s="70"/>
    </row>
    <row r="25" spans="1:13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35">
      <c r="A26" s="71" t="s">
        <v>67</v>
      </c>
      <c r="B26" s="71"/>
      <c r="C26" s="72">
        <f>C12+C24</f>
        <v>792128921.6400001</v>
      </c>
      <c r="D26" s="72"/>
      <c r="E26" s="41"/>
      <c r="F26" s="71" t="s">
        <v>67</v>
      </c>
      <c r="G26" s="71"/>
      <c r="H26" s="72">
        <f>H12+H24</f>
        <v>826973623.04999995</v>
      </c>
      <c r="I26" s="72"/>
      <c r="J26" s="46"/>
      <c r="K26" s="71"/>
      <c r="L26" s="72">
        <f>L24+L12</f>
        <v>34844701.410000004</v>
      </c>
      <c r="M26" s="72"/>
    </row>
    <row r="27" spans="1:13" ht="13.5" thickTop="1" x14ac:dyDescent="0.3"/>
    <row r="31" spans="1:13" x14ac:dyDescent="0.3">
      <c r="H31" s="122"/>
    </row>
    <row r="32" spans="1:13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127"/>
    </row>
    <row r="40" spans="3:9" ht="15.5" x14ac:dyDescent="0.35">
      <c r="G40" s="123"/>
      <c r="H40" s="124"/>
      <c r="I40" s="127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95DA-D1B8-4858-AF10-D6A36C0A925C}">
  <dimension ref="A1:O46"/>
  <sheetViews>
    <sheetView workbookViewId="0">
      <selection sqref="A1:XFD1048576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4" style="35" customWidth="1"/>
    <col min="7" max="7" width="6.6328125" style="35" bestFit="1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44653</v>
      </c>
      <c r="B3" s="90">
        <v>10</v>
      </c>
      <c r="C3" s="51">
        <v>60989474</v>
      </c>
      <c r="D3" s="51">
        <v>9140000</v>
      </c>
      <c r="F3" s="10">
        <v>45017</v>
      </c>
      <c r="G3" s="90">
        <v>10</v>
      </c>
      <c r="H3" s="51">
        <v>68224809.030000001</v>
      </c>
      <c r="I3" s="51">
        <v>8150000</v>
      </c>
      <c r="J3" s="45"/>
      <c r="K3" s="49">
        <f t="shared" ref="K3:L10" si="0">G3-B3</f>
        <v>0</v>
      </c>
      <c r="L3" s="38">
        <f t="shared" si="0"/>
        <v>7235335.0300000012</v>
      </c>
      <c r="M3" s="38">
        <f>D3-I3</f>
        <v>990000</v>
      </c>
    </row>
    <row r="4" spans="1:15" ht="14.5" x14ac:dyDescent="0.35">
      <c r="A4" s="10">
        <v>44654</v>
      </c>
      <c r="B4" s="93">
        <v>10</v>
      </c>
      <c r="C4" s="51">
        <v>53162039.32</v>
      </c>
      <c r="D4" s="51">
        <f>7750000</f>
        <v>7750000</v>
      </c>
      <c r="F4" s="10">
        <v>45024</v>
      </c>
      <c r="G4" s="93">
        <v>10</v>
      </c>
      <c r="H4" s="51">
        <v>66188865.719999999</v>
      </c>
      <c r="I4" s="51">
        <v>9850000</v>
      </c>
      <c r="J4" s="45"/>
      <c r="K4" s="49">
        <f t="shared" si="0"/>
        <v>0</v>
      </c>
      <c r="L4" s="38">
        <f t="shared" si="0"/>
        <v>13026826.399999999</v>
      </c>
      <c r="M4" s="38">
        <f t="shared" ref="M4:M11" si="1">D4-I4</f>
        <v>-2100000</v>
      </c>
    </row>
    <row r="5" spans="1:15" ht="14.5" x14ac:dyDescent="0.35">
      <c r="A5" s="10">
        <v>44660</v>
      </c>
      <c r="B5" s="93">
        <v>10</v>
      </c>
      <c r="C5" s="51">
        <v>62662925</v>
      </c>
      <c r="D5" s="51">
        <f>650000+980000+770000+650000+650000+960000+950000+670000+920000+700000</f>
        <v>7900000</v>
      </c>
      <c r="F5" s="10">
        <v>45025</v>
      </c>
      <c r="G5" s="93">
        <v>9</v>
      </c>
      <c r="H5" s="51">
        <v>57939973.609999999</v>
      </c>
      <c r="I5" s="51">
        <v>8110000</v>
      </c>
      <c r="J5" s="45"/>
      <c r="K5" s="49">
        <f t="shared" si="0"/>
        <v>-1</v>
      </c>
      <c r="L5" s="38">
        <f t="shared" si="0"/>
        <v>-4722951.3900000006</v>
      </c>
      <c r="M5" s="38">
        <f t="shared" si="1"/>
        <v>-210000</v>
      </c>
    </row>
    <row r="6" spans="1:15" ht="14.5" x14ac:dyDescent="0.35">
      <c r="A6" s="10">
        <v>44667</v>
      </c>
      <c r="B6" s="93">
        <v>9</v>
      </c>
      <c r="C6" s="51">
        <v>62160887</v>
      </c>
      <c r="D6" s="51">
        <v>6910000</v>
      </c>
      <c r="F6" s="10">
        <v>45026</v>
      </c>
      <c r="G6" s="93">
        <v>10</v>
      </c>
      <c r="H6" s="51">
        <v>64452630</v>
      </c>
      <c r="I6" s="51">
        <v>8350000</v>
      </c>
      <c r="J6" s="45"/>
      <c r="K6" s="49">
        <f t="shared" si="0"/>
        <v>1</v>
      </c>
      <c r="L6" s="38">
        <f t="shared" si="0"/>
        <v>2291743</v>
      </c>
      <c r="M6" s="38">
        <f t="shared" si="1"/>
        <v>-1440000</v>
      </c>
    </row>
    <row r="7" spans="1:15" ht="14.5" x14ac:dyDescent="0.35">
      <c r="A7" s="10">
        <v>44668</v>
      </c>
      <c r="B7" s="93">
        <v>9</v>
      </c>
      <c r="C7" s="51">
        <v>52240794</v>
      </c>
      <c r="D7" s="51">
        <f>770000+550000+670000+650000+740000+700000+1200000+920000+950000</f>
        <v>7150000</v>
      </c>
      <c r="F7" s="10">
        <v>45031</v>
      </c>
      <c r="G7" s="93">
        <v>9</v>
      </c>
      <c r="H7" s="51">
        <v>57778293</v>
      </c>
      <c r="I7" s="51">
        <v>7590000</v>
      </c>
      <c r="J7" s="45"/>
      <c r="K7" s="49">
        <f t="shared" si="0"/>
        <v>0</v>
      </c>
      <c r="L7" s="38">
        <f t="shared" si="0"/>
        <v>5537499</v>
      </c>
      <c r="M7" s="38">
        <f t="shared" si="1"/>
        <v>-440000</v>
      </c>
    </row>
    <row r="8" spans="1:15" ht="14.5" x14ac:dyDescent="0.35">
      <c r="A8" s="10">
        <v>44669</v>
      </c>
      <c r="B8" s="93">
        <v>9</v>
      </c>
      <c r="C8" s="51">
        <v>52473678.649999999</v>
      </c>
      <c r="D8" s="51">
        <v>7090000</v>
      </c>
      <c r="F8" s="10">
        <v>45038</v>
      </c>
      <c r="G8" s="93">
        <v>10</v>
      </c>
      <c r="H8" s="51">
        <v>61227465</v>
      </c>
      <c r="I8" s="51">
        <v>9180000</v>
      </c>
      <c r="J8" s="45"/>
      <c r="K8" s="49">
        <f t="shared" si="0"/>
        <v>1</v>
      </c>
      <c r="L8" s="38">
        <f t="shared" si="0"/>
        <v>8753786.3500000015</v>
      </c>
      <c r="M8" s="38">
        <f t="shared" si="1"/>
        <v>-2090000</v>
      </c>
    </row>
    <row r="9" spans="1:15" ht="14.5" x14ac:dyDescent="0.35">
      <c r="A9" s="10">
        <v>44674</v>
      </c>
      <c r="B9" s="107">
        <v>10</v>
      </c>
      <c r="C9" s="51">
        <v>61920770</v>
      </c>
      <c r="D9" s="108">
        <v>8600000</v>
      </c>
      <c r="F9" s="10">
        <v>45039</v>
      </c>
      <c r="G9" s="107">
        <v>9</v>
      </c>
      <c r="H9" s="51">
        <v>58279261</v>
      </c>
      <c r="I9" s="108">
        <v>7290000</v>
      </c>
      <c r="J9" s="45"/>
      <c r="K9" s="49">
        <f t="shared" si="0"/>
        <v>-1</v>
      </c>
      <c r="L9" s="38">
        <f t="shared" si="0"/>
        <v>-3641509</v>
      </c>
      <c r="M9" s="38">
        <f t="shared" si="1"/>
        <v>1310000</v>
      </c>
      <c r="O9" s="35" t="s">
        <v>82</v>
      </c>
    </row>
    <row r="10" spans="1:15" ht="14.5" x14ac:dyDescent="0.35">
      <c r="A10" s="10">
        <v>44681</v>
      </c>
      <c r="B10" s="49">
        <v>10</v>
      </c>
      <c r="C10" s="51">
        <v>82093662.290000007</v>
      </c>
      <c r="D10" s="43">
        <v>8275000</v>
      </c>
      <c r="F10" s="10">
        <v>45045</v>
      </c>
      <c r="G10" s="49">
        <v>10</v>
      </c>
      <c r="H10" s="51">
        <v>72120380</v>
      </c>
      <c r="I10" s="43">
        <v>8770000</v>
      </c>
      <c r="J10" s="45"/>
      <c r="K10" s="49">
        <f t="shared" si="0"/>
        <v>0</v>
      </c>
      <c r="L10" s="38">
        <f t="shared" si="0"/>
        <v>-9973282.2900000066</v>
      </c>
      <c r="M10" s="38">
        <f t="shared" si="1"/>
        <v>-495000</v>
      </c>
    </row>
    <row r="11" spans="1:15" ht="14.5" x14ac:dyDescent="0.35">
      <c r="A11" s="10"/>
      <c r="B11" s="93"/>
      <c r="C11" s="108"/>
      <c r="D11" s="120"/>
      <c r="F11" s="10"/>
      <c r="G11" s="49"/>
      <c r="H11" s="51"/>
      <c r="I11" s="38"/>
      <c r="J11" s="45"/>
      <c r="K11" s="121"/>
      <c r="L11" s="38"/>
      <c r="M11" s="38">
        <f t="shared" si="1"/>
        <v>0</v>
      </c>
    </row>
    <row r="12" spans="1:15" ht="15" thickBot="1" x14ac:dyDescent="0.4">
      <c r="A12" s="52" t="s">
        <v>66</v>
      </c>
      <c r="B12" s="52">
        <f>SUM(B3:B10)</f>
        <v>77</v>
      </c>
      <c r="C12" s="39">
        <f>SUM(C3:C10)</f>
        <v>487704230.25999999</v>
      </c>
      <c r="D12" s="54">
        <f>SUM(D3:D10)</f>
        <v>62815000</v>
      </c>
      <c r="F12" s="52" t="s">
        <v>66</v>
      </c>
      <c r="G12" s="52">
        <f>SUM(G3:G11)</f>
        <v>77</v>
      </c>
      <c r="H12" s="39">
        <f>SUM(H3:H11)</f>
        <v>506211677.36000001</v>
      </c>
      <c r="I12" s="39">
        <f>SUM(I3:I11)</f>
        <v>67290000</v>
      </c>
      <c r="J12" s="46"/>
      <c r="K12" s="14">
        <f>G12-B12</f>
        <v>0</v>
      </c>
      <c r="L12" s="39">
        <f>SUM(L3:L11)</f>
        <v>18507447.099999994</v>
      </c>
      <c r="M12" s="39">
        <f>SUM(M3:M11)</f>
        <v>-4475000</v>
      </c>
    </row>
    <row r="13" spans="1:15" ht="13.5" thickTop="1" x14ac:dyDescent="0.3">
      <c r="A13" s="65" t="s">
        <v>72</v>
      </c>
      <c r="B13" s="62">
        <f>SUM(B3:B10)/COUNT(B3:B10)</f>
        <v>9.625</v>
      </c>
      <c r="C13" s="63">
        <f>SUM(C3:C10)/COUNT(C3:C10)</f>
        <v>60963028.782499999</v>
      </c>
      <c r="D13" s="63">
        <f>SUM(D3:D10)/COUNT(D3:D10)</f>
        <v>7851875</v>
      </c>
      <c r="F13" s="59"/>
      <c r="G13" s="60">
        <f>SUM(G3:G11)/COUNT(G3:G10)</f>
        <v>9.625</v>
      </c>
      <c r="H13" s="61">
        <f>SUM(H3:H11)/COUNT(H3:H11)</f>
        <v>63276459.670000002</v>
      </c>
      <c r="I13" s="61">
        <f>SUM(I3:I11)/COUNT(I3:I11)</f>
        <v>8411250</v>
      </c>
      <c r="J13" s="48"/>
      <c r="K13" s="62">
        <f>SUM(K3:K11)/COUNT(K3:K10)</f>
        <v>0</v>
      </c>
      <c r="L13" s="63">
        <f>SUM(L3:L11)/COUNT(L3:L10)</f>
        <v>2313430.8874999993</v>
      </c>
      <c r="M13" s="63">
        <f>SUM(M3:M11)/COUNT(M3:M10)</f>
        <v>-559375</v>
      </c>
    </row>
    <row r="14" spans="1:15" hidden="1" x14ac:dyDescent="0.3">
      <c r="H14" s="78">
        <f>H12/G12</f>
        <v>6574177.6280519478</v>
      </c>
    </row>
    <row r="15" spans="1:15" x14ac:dyDescent="0.3">
      <c r="A15" s="34" t="s">
        <v>71</v>
      </c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3" ht="14.5" x14ac:dyDescent="0.35">
      <c r="A17" s="10">
        <v>44653</v>
      </c>
      <c r="B17" s="68">
        <v>2</v>
      </c>
      <c r="C17" s="74">
        <f>12525974.83+19033245.36</f>
        <v>31559220.189999998</v>
      </c>
      <c r="D17" s="74">
        <f>C17/B17</f>
        <v>15779610.094999999</v>
      </c>
      <c r="F17" s="10">
        <v>45017</v>
      </c>
      <c r="G17" s="68">
        <v>1</v>
      </c>
      <c r="H17" s="113">
        <v>21829482.25</v>
      </c>
      <c r="I17" s="69">
        <f>H17/G17</f>
        <v>21829482.25</v>
      </c>
      <c r="J17" s="45"/>
      <c r="K17" s="68">
        <f t="shared" ref="K17:L22" si="2">G17-B17</f>
        <v>-1</v>
      </c>
      <c r="L17" s="69">
        <f>H17-C17</f>
        <v>-9729737.9399999976</v>
      </c>
      <c r="M17" s="69"/>
    </row>
    <row r="18" spans="1:13" ht="14.5" x14ac:dyDescent="0.35">
      <c r="A18" s="10">
        <v>44660</v>
      </c>
      <c r="B18" s="68">
        <v>7</v>
      </c>
      <c r="C18" s="74">
        <v>85689672.980000004</v>
      </c>
      <c r="D18" s="74">
        <f t="shared" ref="D18:D21" si="3">C18/B18</f>
        <v>12241381.854285715</v>
      </c>
      <c r="F18" s="10">
        <v>45024</v>
      </c>
      <c r="G18" s="68">
        <v>6</v>
      </c>
      <c r="H18" s="113">
        <v>74447969.900000006</v>
      </c>
      <c r="I18" s="69">
        <f t="shared" ref="I18:I22" si="4">H18/G18</f>
        <v>12407994.983333334</v>
      </c>
      <c r="J18" s="45"/>
      <c r="K18" s="68">
        <f t="shared" si="2"/>
        <v>-1</v>
      </c>
      <c r="L18" s="69">
        <f>H18-C18</f>
        <v>-11241703.079999998</v>
      </c>
      <c r="M18" s="69"/>
    </row>
    <row r="19" spans="1:13" ht="14.5" x14ac:dyDescent="0.35">
      <c r="A19" s="10">
        <v>44667</v>
      </c>
      <c r="B19" s="68">
        <v>7</v>
      </c>
      <c r="C19" s="74">
        <v>69693435.129999995</v>
      </c>
      <c r="D19" s="74">
        <f t="shared" si="3"/>
        <v>9956205.0185714271</v>
      </c>
      <c r="F19" s="10">
        <v>45031</v>
      </c>
      <c r="G19" s="68">
        <v>7</v>
      </c>
      <c r="H19" s="113">
        <v>85862066.349999994</v>
      </c>
      <c r="I19" s="69">
        <f t="shared" si="4"/>
        <v>12266009.478571428</v>
      </c>
      <c r="J19" s="45"/>
      <c r="K19" s="68">
        <f t="shared" si="2"/>
        <v>0</v>
      </c>
      <c r="L19" s="69">
        <f>H19-C19</f>
        <v>16168631.219999999</v>
      </c>
      <c r="M19" s="69"/>
    </row>
    <row r="20" spans="1:13" ht="14.5" x14ac:dyDescent="0.35">
      <c r="A20" s="10">
        <v>44674</v>
      </c>
      <c r="B20" s="68">
        <v>6</v>
      </c>
      <c r="C20" s="74">
        <f>66343117.56+19105460.06</f>
        <v>85448577.620000005</v>
      </c>
      <c r="D20" s="74">
        <f t="shared" si="3"/>
        <v>14241429.603333334</v>
      </c>
      <c r="F20" s="10">
        <v>45038</v>
      </c>
      <c r="G20" s="68">
        <v>7</v>
      </c>
      <c r="H20" s="113">
        <v>90425342.319999993</v>
      </c>
      <c r="I20" s="69">
        <f t="shared" si="4"/>
        <v>12917906.045714285</v>
      </c>
      <c r="J20" s="45"/>
      <c r="K20" s="68">
        <f t="shared" si="2"/>
        <v>1</v>
      </c>
      <c r="L20" s="69">
        <f t="shared" si="2"/>
        <v>4976764.6999999881</v>
      </c>
      <c r="M20" s="69"/>
    </row>
    <row r="21" spans="1:13" ht="14.5" x14ac:dyDescent="0.35">
      <c r="A21" s="10">
        <v>44681</v>
      </c>
      <c r="B21" s="68">
        <v>7</v>
      </c>
      <c r="C21" s="74">
        <v>92794180.290000007</v>
      </c>
      <c r="D21" s="74">
        <f t="shared" si="3"/>
        <v>13256311.470000001</v>
      </c>
      <c r="F21" s="10">
        <v>45045</v>
      </c>
      <c r="G21" s="68">
        <v>7</v>
      </c>
      <c r="H21" s="113">
        <v>92202951.099999994</v>
      </c>
      <c r="I21" s="69">
        <f t="shared" si="4"/>
        <v>13171850.157142857</v>
      </c>
      <c r="J21" s="45"/>
      <c r="K21" s="68">
        <f t="shared" si="2"/>
        <v>0</v>
      </c>
      <c r="L21" s="69">
        <f t="shared" si="2"/>
        <v>-591229.19000001252</v>
      </c>
      <c r="M21" s="69"/>
    </row>
    <row r="22" spans="1:13" ht="14.5" x14ac:dyDescent="0.35">
      <c r="A22" s="73"/>
      <c r="B22" s="68"/>
      <c r="C22" s="106"/>
      <c r="D22" s="74"/>
      <c r="F22" s="10">
        <v>45046</v>
      </c>
      <c r="G22" s="68">
        <v>1</v>
      </c>
      <c r="H22" s="113">
        <v>13580533.09</v>
      </c>
      <c r="I22" s="69">
        <f t="shared" si="4"/>
        <v>13580533.09</v>
      </c>
      <c r="J22" s="45"/>
      <c r="K22" s="68"/>
      <c r="L22" s="69">
        <f t="shared" si="2"/>
        <v>13580533.09</v>
      </c>
      <c r="M22" s="69"/>
    </row>
    <row r="23" spans="1:13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3" ht="13.5" thickBot="1" x14ac:dyDescent="0.35">
      <c r="A24" s="75" t="s">
        <v>66</v>
      </c>
      <c r="B24" s="75">
        <f>SUM(B17:B22)</f>
        <v>29</v>
      </c>
      <c r="C24" s="88">
        <f>SUM(C17:C22)</f>
        <v>365185086.21000004</v>
      </c>
      <c r="D24" s="88">
        <f>C24/B24</f>
        <v>12592589.179655174</v>
      </c>
      <c r="F24" s="75" t="s">
        <v>66</v>
      </c>
      <c r="G24" s="75">
        <f>SUM(G17:G23)</f>
        <v>29</v>
      </c>
      <c r="H24" s="70">
        <f>SUM(H17:H22)</f>
        <v>378348345.00999993</v>
      </c>
      <c r="I24" s="70">
        <f>H24/G24</f>
        <v>13046494.655517239</v>
      </c>
      <c r="J24" s="46"/>
      <c r="K24" s="68">
        <f>SUM(K17:K23)</f>
        <v>-1</v>
      </c>
      <c r="L24" s="70">
        <f>SUM(L17:L23)</f>
        <v>13163258.799999978</v>
      </c>
      <c r="M24" s="70"/>
    </row>
    <row r="25" spans="1:13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35">
      <c r="A26" s="71" t="s">
        <v>67</v>
      </c>
      <c r="B26" s="71"/>
      <c r="C26" s="72">
        <f>C12+C24</f>
        <v>852889316.47000003</v>
      </c>
      <c r="D26" s="72"/>
      <c r="E26" s="41"/>
      <c r="F26" s="71" t="s">
        <v>67</v>
      </c>
      <c r="G26" s="71"/>
      <c r="H26" s="72">
        <f>H12+H24</f>
        <v>884560022.36999989</v>
      </c>
      <c r="I26" s="72"/>
      <c r="J26" s="46"/>
      <c r="K26" s="71"/>
      <c r="L26" s="72">
        <f>L24+L12</f>
        <v>31670705.899999972</v>
      </c>
      <c r="M26" s="72"/>
    </row>
    <row r="27" spans="1:13" ht="13.5" thickTop="1" x14ac:dyDescent="0.3"/>
    <row r="31" spans="1:13" x14ac:dyDescent="0.3">
      <c r="H31" s="122"/>
    </row>
    <row r="32" spans="1:13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78"/>
    </row>
    <row r="40" spans="3:9" ht="15.5" x14ac:dyDescent="0.35">
      <c r="G40" s="123"/>
      <c r="H40" s="124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5FD7-EE86-4743-8988-D0FD48B37D5D}">
  <dimension ref="A1:O46"/>
  <sheetViews>
    <sheetView workbookViewId="0">
      <selection activeCell="I10" sqref="I10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4" style="35" customWidth="1"/>
    <col min="7" max="7" width="6.6328125" style="35" bestFit="1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44688</v>
      </c>
      <c r="B3" s="90">
        <v>11</v>
      </c>
      <c r="C3" s="51">
        <v>68902391.480000004</v>
      </c>
      <c r="D3" s="51">
        <v>11510000</v>
      </c>
      <c r="F3" s="10">
        <v>45052</v>
      </c>
      <c r="G3" s="90">
        <v>10</v>
      </c>
      <c r="H3" s="51">
        <v>63043259.590000004</v>
      </c>
      <c r="I3" s="51">
        <v>11000000</v>
      </c>
      <c r="J3" s="45"/>
      <c r="K3" s="49">
        <f t="shared" ref="K3:L9" si="0">G3-B3</f>
        <v>-1</v>
      </c>
      <c r="L3" s="38">
        <f t="shared" si="0"/>
        <v>-5859131.8900000006</v>
      </c>
      <c r="M3" s="38">
        <f>D3-I3</f>
        <v>510000</v>
      </c>
    </row>
    <row r="4" spans="1:15" ht="14.5" x14ac:dyDescent="0.35">
      <c r="A4" s="10">
        <v>44689</v>
      </c>
      <c r="B4" s="93">
        <v>9</v>
      </c>
      <c r="C4" s="51">
        <v>55819535.049999997</v>
      </c>
      <c r="D4" s="51">
        <v>9940000</v>
      </c>
      <c r="F4" s="10">
        <v>45053</v>
      </c>
      <c r="G4" s="93">
        <v>10</v>
      </c>
      <c r="H4" s="51">
        <v>45223062.68</v>
      </c>
      <c r="I4" s="51">
        <v>9640000</v>
      </c>
      <c r="J4" s="45"/>
      <c r="K4" s="49">
        <f t="shared" si="0"/>
        <v>1</v>
      </c>
      <c r="L4" s="38">
        <f t="shared" si="0"/>
        <v>-10596472.369999997</v>
      </c>
      <c r="M4" s="38">
        <f t="shared" ref="M4:M9" si="1">D4-I4</f>
        <v>300000</v>
      </c>
      <c r="O4" s="35" t="s">
        <v>88</v>
      </c>
    </row>
    <row r="5" spans="1:15" ht="14.5" x14ac:dyDescent="0.35">
      <c r="A5" s="10">
        <v>44695</v>
      </c>
      <c r="B5" s="93">
        <v>11</v>
      </c>
      <c r="C5" s="51">
        <v>68787276</v>
      </c>
      <c r="D5" s="51">
        <v>9080000</v>
      </c>
      <c r="F5" s="10">
        <v>45059</v>
      </c>
      <c r="G5" s="93">
        <v>11</v>
      </c>
      <c r="H5" s="51">
        <v>72407920.590000004</v>
      </c>
      <c r="I5" s="51">
        <v>8650000</v>
      </c>
      <c r="J5" s="45"/>
      <c r="K5" s="49">
        <f t="shared" si="0"/>
        <v>0</v>
      </c>
      <c r="L5" s="38">
        <f t="shared" si="0"/>
        <v>3620644.5900000036</v>
      </c>
      <c r="M5" s="38">
        <f t="shared" si="1"/>
        <v>430000</v>
      </c>
    </row>
    <row r="6" spans="1:15" ht="14.5" x14ac:dyDescent="0.35">
      <c r="A6" s="10">
        <v>44702</v>
      </c>
      <c r="B6" s="93">
        <v>10</v>
      </c>
      <c r="C6" s="51">
        <v>56317592.880000003</v>
      </c>
      <c r="D6" s="51">
        <v>7190000</v>
      </c>
      <c r="F6" s="10">
        <v>45066</v>
      </c>
      <c r="G6" s="93">
        <v>10</v>
      </c>
      <c r="H6" s="51">
        <v>58730662</v>
      </c>
      <c r="I6" s="51">
        <v>8800000</v>
      </c>
      <c r="J6" s="45"/>
      <c r="K6" s="49">
        <f t="shared" si="0"/>
        <v>0</v>
      </c>
      <c r="L6" s="38">
        <f t="shared" si="0"/>
        <v>2413069.1199999973</v>
      </c>
      <c r="M6" s="38">
        <f t="shared" si="1"/>
        <v>-1610000</v>
      </c>
    </row>
    <row r="7" spans="1:15" ht="14.5" x14ac:dyDescent="0.35">
      <c r="A7" s="10">
        <v>44703</v>
      </c>
      <c r="B7" s="93">
        <v>9</v>
      </c>
      <c r="C7" s="51">
        <v>50973587.57</v>
      </c>
      <c r="D7" s="51">
        <v>7500000</v>
      </c>
      <c r="F7" s="10">
        <v>45068</v>
      </c>
      <c r="G7" s="93">
        <v>9</v>
      </c>
      <c r="H7" s="51">
        <v>52879810</v>
      </c>
      <c r="I7" s="51">
        <v>7380000</v>
      </c>
      <c r="J7" s="45"/>
      <c r="K7" s="49">
        <f t="shared" si="0"/>
        <v>0</v>
      </c>
      <c r="L7" s="38">
        <f t="shared" si="0"/>
        <v>1906222.4299999997</v>
      </c>
      <c r="M7" s="38">
        <f t="shared" si="1"/>
        <v>120000</v>
      </c>
    </row>
    <row r="8" spans="1:15" ht="14.5" x14ac:dyDescent="0.35">
      <c r="A8" s="10">
        <v>44704</v>
      </c>
      <c r="B8" s="93">
        <v>9</v>
      </c>
      <c r="C8" s="51">
        <v>57685211.840000004</v>
      </c>
      <c r="D8" s="51">
        <v>7500000</v>
      </c>
      <c r="F8" s="10">
        <v>45069</v>
      </c>
      <c r="G8" s="93">
        <v>9</v>
      </c>
      <c r="H8" s="51">
        <v>58722447</v>
      </c>
      <c r="I8" s="51">
        <v>7780000</v>
      </c>
      <c r="J8" s="45"/>
      <c r="K8" s="49">
        <f t="shared" si="0"/>
        <v>0</v>
      </c>
      <c r="L8" s="38">
        <f t="shared" si="0"/>
        <v>1037235.1599999964</v>
      </c>
      <c r="M8" s="38">
        <f t="shared" si="1"/>
        <v>-280000</v>
      </c>
    </row>
    <row r="9" spans="1:15" ht="14.5" x14ac:dyDescent="0.35">
      <c r="A9" s="10">
        <v>44709</v>
      </c>
      <c r="B9" s="107">
        <v>10</v>
      </c>
      <c r="C9" s="51">
        <v>71091776</v>
      </c>
      <c r="D9" s="108">
        <v>7610000</v>
      </c>
      <c r="F9" s="10">
        <v>45073</v>
      </c>
      <c r="G9" s="107">
        <v>10</v>
      </c>
      <c r="H9" s="51">
        <v>76352185</v>
      </c>
      <c r="I9" s="108">
        <v>8610000</v>
      </c>
      <c r="J9" s="45"/>
      <c r="K9" s="49">
        <f t="shared" si="0"/>
        <v>0</v>
      </c>
      <c r="L9" s="38">
        <f t="shared" si="0"/>
        <v>5260409</v>
      </c>
      <c r="M9" s="38">
        <f t="shared" si="1"/>
        <v>-1000000</v>
      </c>
    </row>
    <row r="10" spans="1:15" ht="14.5" x14ac:dyDescent="0.35">
      <c r="A10" s="10"/>
      <c r="B10" s="49"/>
      <c r="C10" s="51"/>
      <c r="D10" s="43"/>
      <c r="F10" s="10"/>
      <c r="G10" s="49"/>
      <c r="H10" s="51"/>
      <c r="I10" s="43"/>
      <c r="J10" s="45"/>
      <c r="K10" s="49"/>
      <c r="L10" s="38"/>
      <c r="M10" s="38"/>
    </row>
    <row r="11" spans="1:15" ht="14.5" x14ac:dyDescent="0.35">
      <c r="A11" s="10"/>
      <c r="B11" s="93"/>
      <c r="C11" s="108"/>
      <c r="D11" s="120"/>
      <c r="F11" s="10"/>
      <c r="G11" s="49"/>
      <c r="H11" s="51"/>
      <c r="I11" s="38"/>
      <c r="J11" s="45"/>
      <c r="K11" s="121"/>
      <c r="L11" s="38"/>
      <c r="M11" s="38"/>
    </row>
    <row r="12" spans="1:15" ht="15" thickBot="1" x14ac:dyDescent="0.4">
      <c r="A12" s="52" t="s">
        <v>66</v>
      </c>
      <c r="B12" s="52">
        <f>SUM(B3:B10)</f>
        <v>69</v>
      </c>
      <c r="C12" s="39">
        <f>SUM(C3:C10)</f>
        <v>429577370.82000005</v>
      </c>
      <c r="D12" s="54">
        <f>SUM(D3:D10)</f>
        <v>60330000</v>
      </c>
      <c r="F12" s="52" t="s">
        <v>66</v>
      </c>
      <c r="G12" s="52">
        <f>SUM(G3:G11)</f>
        <v>69</v>
      </c>
      <c r="H12" s="39">
        <f>SUM(H3:H11)</f>
        <v>427359346.86000001</v>
      </c>
      <c r="I12" s="39">
        <f>SUM(I3:I11)</f>
        <v>61860000</v>
      </c>
      <c r="J12" s="46"/>
      <c r="K12" s="14">
        <f>G12-B12</f>
        <v>0</v>
      </c>
      <c r="L12" s="39">
        <f>SUM(L3:L11)</f>
        <v>-2218023.9600000009</v>
      </c>
      <c r="M12" s="39">
        <f>SUM(M3:M11)</f>
        <v>-1530000</v>
      </c>
    </row>
    <row r="13" spans="1:15" ht="13.5" thickTop="1" x14ac:dyDescent="0.3">
      <c r="A13" s="65" t="s">
        <v>72</v>
      </c>
      <c r="B13" s="62">
        <f>SUM(B3:B10)/COUNT(B3:B10)</f>
        <v>9.8571428571428577</v>
      </c>
      <c r="C13" s="63">
        <f>SUM(C3:C10)/COUNT(C3:C10)</f>
        <v>61368195.83142858</v>
      </c>
      <c r="D13" s="63">
        <f>SUM(D3:D10)/COUNT(D3:D10)</f>
        <v>8618571.4285714291</v>
      </c>
      <c r="F13" s="59"/>
      <c r="G13" s="60">
        <f>SUM(G3:G11)/COUNT(G3:G10)</f>
        <v>9.8571428571428577</v>
      </c>
      <c r="H13" s="61">
        <f>SUM(H3:H11)/COUNT(H3:H11)</f>
        <v>61051335.265714288</v>
      </c>
      <c r="I13" s="61">
        <f>SUM(I3:I11)/COUNT(I3:I11)</f>
        <v>8837142.8571428563</v>
      </c>
      <c r="J13" s="48"/>
      <c r="K13" s="62">
        <f>SUM(K3:K11)/COUNT(K3:K10)</f>
        <v>0</v>
      </c>
      <c r="L13" s="63">
        <f>SUM(L3:L11)/COUNT(L3:L10)</f>
        <v>-316860.56571428583</v>
      </c>
      <c r="M13" s="63">
        <f>SUM(M3:M11)/COUNT(M3:M10)</f>
        <v>-218571.42857142858</v>
      </c>
    </row>
    <row r="14" spans="1:15" hidden="1" x14ac:dyDescent="0.3">
      <c r="H14" s="78">
        <f>H12/G12</f>
        <v>6193613.7226086957</v>
      </c>
    </row>
    <row r="15" spans="1:15" x14ac:dyDescent="0.3">
      <c r="A15" s="34" t="s">
        <v>71</v>
      </c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4.5" x14ac:dyDescent="0.35">
      <c r="A17" s="10">
        <v>44688</v>
      </c>
      <c r="B17" s="68">
        <v>7</v>
      </c>
      <c r="C17" s="74">
        <v>80413727.599999994</v>
      </c>
      <c r="D17" s="69">
        <f>C17/B17</f>
        <v>11487675.37142857</v>
      </c>
      <c r="F17" s="10">
        <v>45052</v>
      </c>
      <c r="G17" s="68">
        <v>6</v>
      </c>
      <c r="H17" s="113">
        <v>78993586.719999999</v>
      </c>
      <c r="I17" s="69">
        <f>H17/G17</f>
        <v>13165597.786666667</v>
      </c>
      <c r="J17" s="45"/>
      <c r="K17" s="68">
        <f t="shared" ref="K17:L21" si="2">G17-B17</f>
        <v>-1</v>
      </c>
      <c r="L17" s="69">
        <f>H17-C17</f>
        <v>-1420140.8799999952</v>
      </c>
      <c r="M17" s="69"/>
    </row>
    <row r="18" spans="1:14" ht="14.5" x14ac:dyDescent="0.35">
      <c r="A18" s="10">
        <v>44695</v>
      </c>
      <c r="B18" s="68">
        <v>7</v>
      </c>
      <c r="C18" s="74">
        <f>44318314.43+14466708.57+18925327.66</f>
        <v>77710350.659999996</v>
      </c>
      <c r="D18" s="69">
        <f t="shared" ref="D18:D21" si="3">C18/B18</f>
        <v>11101478.665714284</v>
      </c>
      <c r="F18" s="10">
        <v>45059</v>
      </c>
      <c r="G18" s="68">
        <v>7</v>
      </c>
      <c r="H18" s="113">
        <v>87864996.180000007</v>
      </c>
      <c r="I18" s="69">
        <f t="shared" ref="I18:I21" si="4">H18/G18</f>
        <v>12552142.311428573</v>
      </c>
      <c r="J18" s="45"/>
      <c r="K18" s="68">
        <f t="shared" si="2"/>
        <v>0</v>
      </c>
      <c r="L18" s="69">
        <f>H18-C18</f>
        <v>10154645.520000011</v>
      </c>
      <c r="M18" s="69"/>
    </row>
    <row r="19" spans="1:14" ht="14.5" x14ac:dyDescent="0.35">
      <c r="A19" s="10">
        <v>44702</v>
      </c>
      <c r="B19" s="68">
        <v>7</v>
      </c>
      <c r="C19" s="74">
        <f>26411516+9000000+11000000+14000000+19000000</f>
        <v>79411516</v>
      </c>
      <c r="D19" s="69">
        <f t="shared" si="3"/>
        <v>11344502.285714285</v>
      </c>
      <c r="F19" s="10">
        <v>45066</v>
      </c>
      <c r="G19" s="68">
        <v>7</v>
      </c>
      <c r="H19" s="113">
        <v>85286121.939999998</v>
      </c>
      <c r="I19" s="69">
        <f t="shared" si="4"/>
        <v>12183731.705714285</v>
      </c>
      <c r="J19" s="45"/>
      <c r="K19" s="68">
        <f t="shared" si="2"/>
        <v>0</v>
      </c>
      <c r="L19" s="69">
        <f>H19-C19</f>
        <v>5874605.9399999976</v>
      </c>
      <c r="M19" s="69"/>
    </row>
    <row r="20" spans="1:14" ht="14.5" x14ac:dyDescent="0.35">
      <c r="A20" s="10">
        <v>44709</v>
      </c>
      <c r="B20" s="68">
        <v>7</v>
      </c>
      <c r="C20" s="74">
        <f>59539845.99+20000000</f>
        <v>79539845.99000001</v>
      </c>
      <c r="D20" s="69">
        <f t="shared" si="3"/>
        <v>11362835.141428573</v>
      </c>
      <c r="F20" s="10">
        <v>45073</v>
      </c>
      <c r="G20" s="68">
        <v>7</v>
      </c>
      <c r="H20" s="113">
        <v>84092586.390000001</v>
      </c>
      <c r="I20" s="69">
        <f t="shared" si="4"/>
        <v>12013226.627142858</v>
      </c>
      <c r="J20" s="45"/>
      <c r="K20" s="68">
        <f t="shared" si="2"/>
        <v>0</v>
      </c>
      <c r="L20" s="69">
        <f t="shared" si="2"/>
        <v>4552740.3999999911</v>
      </c>
      <c r="M20" s="69"/>
    </row>
    <row r="21" spans="1:14" ht="14.5" x14ac:dyDescent="0.35">
      <c r="A21" s="10">
        <v>44712</v>
      </c>
      <c r="B21" s="68">
        <v>3</v>
      </c>
      <c r="C21" s="74">
        <f>12000000+10000000+7000000</f>
        <v>29000000</v>
      </c>
      <c r="D21" s="69">
        <f t="shared" si="3"/>
        <v>9666666.666666666</v>
      </c>
      <c r="F21" s="10">
        <v>45077</v>
      </c>
      <c r="G21" s="68">
        <v>4</v>
      </c>
      <c r="H21" s="113">
        <v>45576453.100000001</v>
      </c>
      <c r="I21" s="69">
        <f t="shared" si="4"/>
        <v>11394113.275</v>
      </c>
      <c r="J21" s="45"/>
      <c r="K21" s="68">
        <f t="shared" si="2"/>
        <v>1</v>
      </c>
      <c r="L21" s="69">
        <f t="shared" si="2"/>
        <v>16576453.100000001</v>
      </c>
      <c r="M21" s="69"/>
    </row>
    <row r="22" spans="1:14" ht="14.5" x14ac:dyDescent="0.35">
      <c r="A22" s="73"/>
      <c r="B22" s="68"/>
      <c r="C22" s="106"/>
      <c r="D22" s="74"/>
      <c r="F22" s="10"/>
      <c r="G22" s="68"/>
      <c r="H22" s="113"/>
      <c r="I22" s="69"/>
      <c r="J22" s="45"/>
      <c r="K22" s="68"/>
      <c r="L22" s="69"/>
      <c r="M22" s="69"/>
    </row>
    <row r="23" spans="1:14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35">
      <c r="A24" s="75" t="s">
        <v>66</v>
      </c>
      <c r="B24" s="75">
        <f>SUM(B17:B22)</f>
        <v>31</v>
      </c>
      <c r="C24" s="88">
        <f>SUM(C17:C22)</f>
        <v>346075440.25</v>
      </c>
      <c r="D24" s="88">
        <f>C24/B24</f>
        <v>11163723.879032258</v>
      </c>
      <c r="F24" s="75" t="s">
        <v>66</v>
      </c>
      <c r="G24" s="75">
        <f>SUM(G17:G23)</f>
        <v>31</v>
      </c>
      <c r="H24" s="70">
        <f>SUM(H17:H22)</f>
        <v>381813744.33000004</v>
      </c>
      <c r="I24" s="70">
        <f>H24/G24</f>
        <v>12316572.397741936</v>
      </c>
      <c r="J24" s="46"/>
      <c r="K24" s="68">
        <f>SUM(K17:K23)</f>
        <v>0</v>
      </c>
      <c r="L24" s="70">
        <f>SUM(L17:L23)</f>
        <v>35738304.080000006</v>
      </c>
      <c r="M24" s="70"/>
    </row>
    <row r="25" spans="1:14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35">
      <c r="A26" s="71" t="s">
        <v>67</v>
      </c>
      <c r="B26" s="71"/>
      <c r="C26" s="72">
        <f>C12+C24</f>
        <v>775652811.07000005</v>
      </c>
      <c r="D26" s="72"/>
      <c r="E26" s="41"/>
      <c r="F26" s="71" t="s">
        <v>67</v>
      </c>
      <c r="G26" s="71"/>
      <c r="H26" s="72">
        <f>H12+H24</f>
        <v>809173091.19000006</v>
      </c>
      <c r="I26" s="72"/>
      <c r="J26" s="46"/>
      <c r="K26" s="71"/>
      <c r="L26" s="72">
        <f>L24+L12</f>
        <v>33520280.120000005</v>
      </c>
      <c r="M26" s="72"/>
      <c r="N26" s="35" t="s">
        <v>89</v>
      </c>
    </row>
    <row r="27" spans="1:14" ht="13.5" thickTop="1" x14ac:dyDescent="0.3"/>
    <row r="31" spans="1:14" x14ac:dyDescent="0.3">
      <c r="H31" s="122"/>
    </row>
    <row r="32" spans="1:14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78"/>
    </row>
    <row r="40" spans="3:9" ht="15.5" x14ac:dyDescent="0.35">
      <c r="G40" s="123"/>
      <c r="H40" s="124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A6EA-C9F7-410F-9954-47CB8122B909}">
  <dimension ref="A1:O46"/>
  <sheetViews>
    <sheetView workbookViewId="0">
      <selection activeCell="H3" sqref="H3:H5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4" style="35" customWidth="1"/>
    <col min="7" max="7" width="6.6328125" style="35" bestFit="1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44716</v>
      </c>
      <c r="B3" s="90">
        <v>11</v>
      </c>
      <c r="C3" s="51">
        <v>72331455.049999997</v>
      </c>
      <c r="D3" s="51">
        <v>12180000</v>
      </c>
      <c r="F3" s="10">
        <v>45080</v>
      </c>
      <c r="G3" s="90">
        <v>9</v>
      </c>
      <c r="H3" s="51">
        <v>64641352</v>
      </c>
      <c r="I3" s="51">
        <v>10750000</v>
      </c>
      <c r="J3" s="45"/>
      <c r="K3" s="49">
        <f t="shared" ref="K3:L9" si="0">G3-B3</f>
        <v>-2</v>
      </c>
      <c r="L3" s="38">
        <f t="shared" si="0"/>
        <v>-7690103.049999997</v>
      </c>
      <c r="M3" s="38">
        <f>D3-I3</f>
        <v>1430000</v>
      </c>
    </row>
    <row r="4" spans="1:15" ht="14.5" x14ac:dyDescent="0.35">
      <c r="A4" s="10">
        <v>44717</v>
      </c>
      <c r="B4" s="93">
        <v>9</v>
      </c>
      <c r="C4" s="51">
        <v>59920577</v>
      </c>
      <c r="D4" s="51">
        <v>10035000</v>
      </c>
      <c r="F4" s="10">
        <v>45081</v>
      </c>
      <c r="G4" s="93">
        <v>10</v>
      </c>
      <c r="H4" s="51">
        <v>60377909</v>
      </c>
      <c r="I4" s="51">
        <v>11880000</v>
      </c>
      <c r="J4" s="45"/>
      <c r="K4" s="49">
        <f t="shared" si="0"/>
        <v>1</v>
      </c>
      <c r="L4" s="38">
        <f t="shared" si="0"/>
        <v>457332</v>
      </c>
      <c r="M4" s="38">
        <f t="shared" ref="M4:M9" si="1">D4-I4</f>
        <v>-1845000</v>
      </c>
      <c r="O4" s="35" t="s">
        <v>88</v>
      </c>
    </row>
    <row r="5" spans="1:15" ht="14.5" x14ac:dyDescent="0.35">
      <c r="A5" s="10">
        <v>44723</v>
      </c>
      <c r="B5" s="93">
        <v>9</v>
      </c>
      <c r="C5" s="51">
        <v>62460724.270000003</v>
      </c>
      <c r="D5" s="51">
        <v>6980000</v>
      </c>
      <c r="F5" s="10">
        <v>45087</v>
      </c>
      <c r="G5" s="93">
        <v>10</v>
      </c>
      <c r="H5" s="51">
        <v>69966281</v>
      </c>
      <c r="I5" s="51">
        <v>8450000</v>
      </c>
      <c r="J5" s="45"/>
      <c r="K5" s="49">
        <f t="shared" si="0"/>
        <v>1</v>
      </c>
      <c r="L5" s="38">
        <f t="shared" si="0"/>
        <v>7505556.7299999967</v>
      </c>
      <c r="M5" s="38">
        <f t="shared" si="1"/>
        <v>-1470000</v>
      </c>
    </row>
    <row r="6" spans="1:15" ht="14.5" x14ac:dyDescent="0.35">
      <c r="A6" s="10">
        <v>44730</v>
      </c>
      <c r="B6" s="93">
        <v>11</v>
      </c>
      <c r="C6" s="51">
        <v>78734216.040000007</v>
      </c>
      <c r="D6" s="51">
        <v>8530000</v>
      </c>
      <c r="F6" s="10">
        <v>45094</v>
      </c>
      <c r="G6" s="93">
        <v>9</v>
      </c>
      <c r="H6" s="51">
        <v>56224347</v>
      </c>
      <c r="I6" s="51">
        <v>7940000</v>
      </c>
      <c r="J6" s="45"/>
      <c r="K6" s="49">
        <f t="shared" si="0"/>
        <v>-2</v>
      </c>
      <c r="L6" s="38">
        <f t="shared" si="0"/>
        <v>-22509869.040000007</v>
      </c>
      <c r="M6" s="38">
        <f t="shared" si="1"/>
        <v>590000</v>
      </c>
    </row>
    <row r="7" spans="1:15" ht="14.5" x14ac:dyDescent="0.35">
      <c r="A7" s="10">
        <v>44731</v>
      </c>
      <c r="B7" s="93">
        <v>10</v>
      </c>
      <c r="C7" s="51">
        <v>52450329</v>
      </c>
      <c r="D7" s="51">
        <v>7910000</v>
      </c>
      <c r="F7" s="10">
        <v>45095</v>
      </c>
      <c r="G7" s="93">
        <v>9</v>
      </c>
      <c r="H7" s="51">
        <v>49177471</v>
      </c>
      <c r="I7" s="51">
        <v>7520000</v>
      </c>
      <c r="J7" s="45"/>
      <c r="K7" s="49">
        <f t="shared" si="0"/>
        <v>-1</v>
      </c>
      <c r="L7" s="38">
        <f t="shared" si="0"/>
        <v>-3272858</v>
      </c>
      <c r="M7" s="38">
        <f t="shared" si="1"/>
        <v>390000</v>
      </c>
    </row>
    <row r="8" spans="1:15" ht="14.5" x14ac:dyDescent="0.35">
      <c r="A8" s="10">
        <v>44737</v>
      </c>
      <c r="B8" s="93">
        <v>11</v>
      </c>
      <c r="C8" s="51">
        <v>71452266.150000006</v>
      </c>
      <c r="D8" s="51">
        <v>9525000</v>
      </c>
      <c r="F8" s="10">
        <v>45101</v>
      </c>
      <c r="G8" s="93">
        <v>10</v>
      </c>
      <c r="H8" s="51">
        <v>66783613</v>
      </c>
      <c r="I8" s="51">
        <v>8860000</v>
      </c>
      <c r="J8" s="45"/>
      <c r="K8" s="49">
        <f t="shared" si="0"/>
        <v>-1</v>
      </c>
      <c r="L8" s="38">
        <f t="shared" si="0"/>
        <v>-4668653.150000006</v>
      </c>
      <c r="M8" s="38">
        <f t="shared" si="1"/>
        <v>665000</v>
      </c>
    </row>
    <row r="9" spans="1:15" ht="14.5" x14ac:dyDescent="0.35">
      <c r="A9" s="10">
        <v>44738</v>
      </c>
      <c r="B9" s="107">
        <v>10</v>
      </c>
      <c r="C9" s="51">
        <v>66654270</v>
      </c>
      <c r="D9" s="108">
        <v>7980000</v>
      </c>
      <c r="F9" s="10">
        <v>45102</v>
      </c>
      <c r="G9" s="107">
        <v>10</v>
      </c>
      <c r="H9" s="51">
        <v>61899377</v>
      </c>
      <c r="I9" s="108">
        <v>8340000</v>
      </c>
      <c r="J9" s="45"/>
      <c r="K9" s="49">
        <f t="shared" si="0"/>
        <v>0</v>
      </c>
      <c r="L9" s="38">
        <f t="shared" si="0"/>
        <v>-4754893</v>
      </c>
      <c r="M9" s="38">
        <f t="shared" si="1"/>
        <v>-360000</v>
      </c>
    </row>
    <row r="10" spans="1:15" ht="14.5" x14ac:dyDescent="0.35">
      <c r="A10" s="10"/>
      <c r="B10" s="49"/>
      <c r="C10" s="51"/>
      <c r="D10" s="43"/>
      <c r="F10" s="10"/>
      <c r="G10" s="49"/>
      <c r="H10" s="51"/>
      <c r="I10" s="43"/>
      <c r="J10" s="45"/>
      <c r="K10" s="49"/>
      <c r="L10" s="38"/>
      <c r="M10" s="38"/>
    </row>
    <row r="11" spans="1:15" ht="14.5" x14ac:dyDescent="0.3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" thickBot="1" x14ac:dyDescent="0.4">
      <c r="A12" s="52" t="s">
        <v>66</v>
      </c>
      <c r="B12" s="52">
        <f>SUM(B3:B10)</f>
        <v>71</v>
      </c>
      <c r="C12" s="39">
        <f>SUM(C3:C10)</f>
        <v>464003837.50999999</v>
      </c>
      <c r="D12" s="54">
        <f>SUM(D3:D10)</f>
        <v>63140000</v>
      </c>
      <c r="F12" s="52" t="s">
        <v>66</v>
      </c>
      <c r="G12" s="52">
        <f>SUM(G3:G11)</f>
        <v>67</v>
      </c>
      <c r="H12" s="39">
        <f>SUM(H3:H11)</f>
        <v>429070350</v>
      </c>
      <c r="I12" s="39">
        <f>SUM(I3:I11)</f>
        <v>63740000</v>
      </c>
      <c r="J12" s="46"/>
      <c r="K12" s="130">
        <f>G12-B12</f>
        <v>-4</v>
      </c>
      <c r="L12" s="39">
        <f>SUM(L3:L11)</f>
        <v>-34933487.510000013</v>
      </c>
      <c r="M12" s="39">
        <f>SUM(M3:M11)</f>
        <v>-600000</v>
      </c>
    </row>
    <row r="13" spans="1:15" ht="13.5" thickTop="1" x14ac:dyDescent="0.3">
      <c r="A13" s="65" t="s">
        <v>72</v>
      </c>
      <c r="B13" s="62">
        <f>SUM(B3:B10)/COUNT(B3:B10)</f>
        <v>10.142857142857142</v>
      </c>
      <c r="C13" s="63">
        <f>SUM(C3:C10)/COUNT(C3:C10)</f>
        <v>66286262.501428567</v>
      </c>
      <c r="D13" s="63">
        <f>SUM(D3:D10)/COUNT(D3:D10)</f>
        <v>9020000</v>
      </c>
      <c r="F13" s="59"/>
      <c r="G13" s="60">
        <f>SUM(G3:G11)/COUNT(G3:G10)</f>
        <v>9.5714285714285712</v>
      </c>
      <c r="H13" s="61">
        <f>SUM(H3:H11)/COUNT(H3:H11)</f>
        <v>61295764.285714284</v>
      </c>
      <c r="I13" s="61">
        <f>SUM(I3:I11)/COUNT(I3:I11)</f>
        <v>9105714.2857142854</v>
      </c>
      <c r="J13" s="48"/>
      <c r="K13" s="62">
        <f>SUM(K3:K11)/COUNT(K3:K10)</f>
        <v>-0.5714285714285714</v>
      </c>
      <c r="L13" s="63">
        <f>SUM(L3:L11)/COUNT(L3:L10)</f>
        <v>-4990498.2157142879</v>
      </c>
      <c r="M13" s="63">
        <f>SUM(M3:M11)/COUNT(M3:M10)</f>
        <v>-85714.28571428571</v>
      </c>
    </row>
    <row r="14" spans="1:15" hidden="1" x14ac:dyDescent="0.3">
      <c r="H14" s="78">
        <f>H12/G12</f>
        <v>6404035.0746268658</v>
      </c>
    </row>
    <row r="15" spans="1:15" x14ac:dyDescent="0.3">
      <c r="A15" s="34" t="s">
        <v>71</v>
      </c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4.5" x14ac:dyDescent="0.35">
      <c r="A17" s="10">
        <v>44716</v>
      </c>
      <c r="B17" s="68">
        <v>4</v>
      </c>
      <c r="C17" s="74">
        <v>52816907.5</v>
      </c>
      <c r="D17" s="69">
        <f>C17/B17</f>
        <v>13204226.875</v>
      </c>
      <c r="F17" s="10">
        <v>45080</v>
      </c>
      <c r="G17" s="68">
        <v>3</v>
      </c>
      <c r="H17" s="113">
        <v>47568885.57</v>
      </c>
      <c r="I17" s="69">
        <f>H17/G17</f>
        <v>15856295.189999999</v>
      </c>
      <c r="J17" s="45"/>
      <c r="K17" s="68">
        <f t="shared" ref="K17:L21" si="2">G17-B17</f>
        <v>-1</v>
      </c>
      <c r="L17" s="69">
        <f>H17-C17</f>
        <v>-5248021.93</v>
      </c>
      <c r="M17" s="69"/>
    </row>
    <row r="18" spans="1:14" ht="14.5" x14ac:dyDescent="0.35">
      <c r="A18" s="10">
        <v>44723</v>
      </c>
      <c r="B18" s="68">
        <v>7</v>
      </c>
      <c r="C18" s="74">
        <v>80465533.269999996</v>
      </c>
      <c r="D18" s="69">
        <f t="shared" ref="D18:D21" si="3">C18/B18</f>
        <v>11495076.18142857</v>
      </c>
      <c r="F18" s="10">
        <v>45087</v>
      </c>
      <c r="G18" s="68">
        <v>7</v>
      </c>
      <c r="H18" s="74">
        <f>62206726.58+20383947.97</f>
        <v>82590674.549999997</v>
      </c>
      <c r="I18" s="69">
        <f t="shared" ref="I18:I21" si="4">H18/G18</f>
        <v>11798667.792857142</v>
      </c>
      <c r="J18" s="45"/>
      <c r="K18" s="68">
        <f t="shared" si="2"/>
        <v>0</v>
      </c>
      <c r="L18" s="69">
        <f>H18-C18</f>
        <v>2125141.2800000012</v>
      </c>
      <c r="M18" s="69"/>
    </row>
    <row r="19" spans="1:14" ht="14.5" x14ac:dyDescent="0.35">
      <c r="A19" s="10">
        <v>44730</v>
      </c>
      <c r="B19" s="68">
        <v>7</v>
      </c>
      <c r="C19" s="74">
        <v>77982545.329999998</v>
      </c>
      <c r="D19" s="69">
        <f t="shared" si="3"/>
        <v>11140363.618571429</v>
      </c>
      <c r="F19" s="10">
        <v>45094</v>
      </c>
      <c r="G19" s="68">
        <v>7</v>
      </c>
      <c r="H19" s="113">
        <v>85082107.379999995</v>
      </c>
      <c r="I19" s="69">
        <f t="shared" si="4"/>
        <v>12154586.768571427</v>
      </c>
      <c r="J19" s="45"/>
      <c r="K19" s="68">
        <f t="shared" si="2"/>
        <v>0</v>
      </c>
      <c r="L19" s="69">
        <f>H19-C19</f>
        <v>7099562.049999997</v>
      </c>
      <c r="M19" s="69"/>
    </row>
    <row r="20" spans="1:14" ht="14.5" x14ac:dyDescent="0.35">
      <c r="A20" s="10">
        <v>44737</v>
      </c>
      <c r="B20" s="68">
        <v>7</v>
      </c>
      <c r="C20" s="74">
        <f>59295132.86+17396604.31</f>
        <v>76691737.170000002</v>
      </c>
      <c r="D20" s="69">
        <f t="shared" si="3"/>
        <v>10955962.452857142</v>
      </c>
      <c r="F20" s="10">
        <v>45101</v>
      </c>
      <c r="G20" s="68">
        <v>7</v>
      </c>
      <c r="H20" s="106">
        <f>68324737.32+18000000</f>
        <v>86324737.319999993</v>
      </c>
      <c r="I20" s="69">
        <f t="shared" si="4"/>
        <v>12332105.331428571</v>
      </c>
      <c r="J20" s="45"/>
      <c r="K20" s="68">
        <f t="shared" si="2"/>
        <v>0</v>
      </c>
      <c r="L20" s="69">
        <f t="shared" si="2"/>
        <v>9633000.1499999911</v>
      </c>
      <c r="M20" s="69"/>
    </row>
    <row r="21" spans="1:14" ht="14.5" x14ac:dyDescent="0.35">
      <c r="A21" s="10">
        <v>44742</v>
      </c>
      <c r="B21" s="68">
        <v>5</v>
      </c>
      <c r="C21" s="74">
        <f>25929938.5+22423265.57</f>
        <v>48353204.07</v>
      </c>
      <c r="D21" s="69">
        <f t="shared" si="3"/>
        <v>9670640.8139999993</v>
      </c>
      <c r="F21" s="10">
        <v>45107</v>
      </c>
      <c r="G21" s="68">
        <v>6</v>
      </c>
      <c r="H21" s="113">
        <v>60000000</v>
      </c>
      <c r="I21" s="69">
        <f t="shared" si="4"/>
        <v>10000000</v>
      </c>
      <c r="J21" s="45"/>
      <c r="K21" s="68">
        <f t="shared" si="2"/>
        <v>1</v>
      </c>
      <c r="L21" s="69">
        <f t="shared" si="2"/>
        <v>11646795.93</v>
      </c>
      <c r="M21" s="69"/>
    </row>
    <row r="22" spans="1:14" ht="14.5" x14ac:dyDescent="0.35">
      <c r="A22" s="73"/>
      <c r="B22" s="68"/>
      <c r="C22" s="106"/>
      <c r="D22" s="74"/>
      <c r="F22" s="10"/>
      <c r="G22" s="68"/>
      <c r="H22" s="113"/>
      <c r="I22" s="69"/>
      <c r="J22" s="45"/>
      <c r="K22" s="68"/>
      <c r="L22" s="69"/>
      <c r="M22" s="69"/>
    </row>
    <row r="23" spans="1:14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35">
      <c r="A24" s="75" t="s">
        <v>66</v>
      </c>
      <c r="B24" s="75">
        <f>SUM(B17:B22)</f>
        <v>30</v>
      </c>
      <c r="C24" s="88">
        <f>SUM(C17:C22)</f>
        <v>336309927.33999997</v>
      </c>
      <c r="D24" s="88">
        <f>C24/B24</f>
        <v>11210330.911333332</v>
      </c>
      <c r="F24" s="75" t="s">
        <v>66</v>
      </c>
      <c r="G24" s="75">
        <f>SUM(G17:G23)</f>
        <v>30</v>
      </c>
      <c r="H24" s="70">
        <f>SUM(H17:H22)</f>
        <v>361566404.81999999</v>
      </c>
      <c r="I24" s="70">
        <f>H24/G24</f>
        <v>12052213.493999999</v>
      </c>
      <c r="J24" s="46"/>
      <c r="K24" s="68">
        <f>SUM(K17:K23)</f>
        <v>0</v>
      </c>
      <c r="L24" s="70">
        <f>SUM(L17:L23)</f>
        <v>25256477.479999989</v>
      </c>
      <c r="M24" s="70"/>
    </row>
    <row r="25" spans="1:14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35">
      <c r="A26" s="71" t="s">
        <v>67</v>
      </c>
      <c r="B26" s="71"/>
      <c r="C26" s="72">
        <f>C12+C24</f>
        <v>800313764.8499999</v>
      </c>
      <c r="D26" s="72"/>
      <c r="E26" s="41"/>
      <c r="F26" s="71" t="s">
        <v>67</v>
      </c>
      <c r="G26" s="71"/>
      <c r="H26" s="72">
        <f>H12+H24</f>
        <v>790636754.81999993</v>
      </c>
      <c r="I26" s="72"/>
      <c r="J26" s="46"/>
      <c r="K26" s="71"/>
      <c r="L26" s="72">
        <f>L24+L12</f>
        <v>-9677010.0300000235</v>
      </c>
      <c r="M26" s="72"/>
      <c r="N26" s="35" t="s">
        <v>89</v>
      </c>
    </row>
    <row r="27" spans="1:14" ht="13.5" thickTop="1" x14ac:dyDescent="0.3"/>
    <row r="31" spans="1:14" x14ac:dyDescent="0.3">
      <c r="H31" s="122"/>
    </row>
    <row r="32" spans="1:14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78"/>
    </row>
    <row r="40" spans="3:9" ht="15.5" x14ac:dyDescent="0.35">
      <c r="G40" s="123"/>
      <c r="H40" s="124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F79A-C508-4051-B7EB-F87FB014B174}">
  <dimension ref="A1:O46"/>
  <sheetViews>
    <sheetView workbookViewId="0">
      <selection activeCell="M27" sqref="M27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4" style="35" customWidth="1"/>
    <col min="7" max="7" width="6.6328125" style="35" bestFit="1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44744</v>
      </c>
      <c r="B3" s="90">
        <v>10</v>
      </c>
      <c r="C3" s="51">
        <v>61096131.140000001</v>
      </c>
      <c r="D3" s="51">
        <v>12400000</v>
      </c>
      <c r="F3" s="10">
        <v>45108</v>
      </c>
      <c r="G3" s="90">
        <v>9</v>
      </c>
      <c r="H3" s="51">
        <v>56967599.100000001</v>
      </c>
      <c r="I3" s="51">
        <v>13250000</v>
      </c>
      <c r="J3" s="45"/>
      <c r="K3" s="49">
        <f t="shared" ref="K3:L9" si="0">G3-B3</f>
        <v>-1</v>
      </c>
      <c r="L3" s="38">
        <f t="shared" si="0"/>
        <v>-4128532.0399999991</v>
      </c>
      <c r="M3" s="38">
        <f>D3-I3</f>
        <v>-850000</v>
      </c>
    </row>
    <row r="4" spans="1:15" ht="14.5" x14ac:dyDescent="0.35">
      <c r="A4" s="10">
        <v>44751</v>
      </c>
      <c r="B4" s="93">
        <v>10</v>
      </c>
      <c r="C4" s="51">
        <v>65076635.530000001</v>
      </c>
      <c r="D4" s="51">
        <v>8170000</v>
      </c>
      <c r="F4" s="10">
        <v>45115</v>
      </c>
      <c r="G4" s="93">
        <v>10</v>
      </c>
      <c r="H4" s="51">
        <v>60421377.219999999</v>
      </c>
      <c r="I4" s="51">
        <v>8270000</v>
      </c>
      <c r="J4" s="45"/>
      <c r="K4" s="49">
        <f t="shared" si="0"/>
        <v>0</v>
      </c>
      <c r="L4" s="38">
        <f t="shared" si="0"/>
        <v>-4655258.3100000024</v>
      </c>
      <c r="M4" s="38">
        <f t="shared" ref="M4:M9" si="1">D4-I4</f>
        <v>-100000</v>
      </c>
      <c r="O4" s="35" t="s">
        <v>88</v>
      </c>
    </row>
    <row r="5" spans="1:15" ht="14.5" x14ac:dyDescent="0.35">
      <c r="A5" s="10">
        <v>44752</v>
      </c>
      <c r="B5" s="93">
        <v>9</v>
      </c>
      <c r="C5" s="51">
        <v>59457916.039999999</v>
      </c>
      <c r="D5" s="51">
        <v>6860000</v>
      </c>
      <c r="F5" s="10">
        <v>45116</v>
      </c>
      <c r="G5" s="93">
        <v>10</v>
      </c>
      <c r="H5" s="51">
        <v>56036996</v>
      </c>
      <c r="I5" s="51">
        <v>8520000</v>
      </c>
      <c r="J5" s="45"/>
      <c r="K5" s="49">
        <f t="shared" si="0"/>
        <v>1</v>
      </c>
      <c r="L5" s="38">
        <f t="shared" si="0"/>
        <v>-3420920.0399999991</v>
      </c>
      <c r="M5" s="38">
        <f t="shared" si="1"/>
        <v>-1660000</v>
      </c>
    </row>
    <row r="6" spans="1:15" ht="14.5" x14ac:dyDescent="0.35">
      <c r="A6" s="10">
        <v>44758</v>
      </c>
      <c r="B6" s="93">
        <v>10</v>
      </c>
      <c r="C6" s="51">
        <v>58056479</v>
      </c>
      <c r="D6" s="51">
        <v>8910000</v>
      </c>
      <c r="F6" s="10">
        <v>45122</v>
      </c>
      <c r="G6" s="93">
        <v>0</v>
      </c>
      <c r="H6" s="51">
        <v>0</v>
      </c>
      <c r="I6" s="51">
        <v>0</v>
      </c>
      <c r="J6" s="45"/>
      <c r="K6" s="49">
        <f t="shared" si="0"/>
        <v>-10</v>
      </c>
      <c r="L6" s="38">
        <f t="shared" si="0"/>
        <v>-58056479</v>
      </c>
      <c r="M6" s="38">
        <f t="shared" si="1"/>
        <v>8910000</v>
      </c>
    </row>
    <row r="7" spans="1:15" ht="14.5" x14ac:dyDescent="0.35">
      <c r="A7" s="10">
        <v>44759</v>
      </c>
      <c r="B7" s="93">
        <v>9</v>
      </c>
      <c r="C7" s="51">
        <v>45622631.799999997</v>
      </c>
      <c r="D7" s="51">
        <v>7250000</v>
      </c>
      <c r="F7" s="10">
        <v>45123</v>
      </c>
      <c r="G7" s="93">
        <v>0</v>
      </c>
      <c r="H7" s="51">
        <v>0</v>
      </c>
      <c r="I7" s="51">
        <v>0</v>
      </c>
      <c r="J7" s="45"/>
      <c r="K7" s="49">
        <f t="shared" si="0"/>
        <v>-9</v>
      </c>
      <c r="L7" s="38">
        <f t="shared" si="0"/>
        <v>-45622631.799999997</v>
      </c>
      <c r="M7" s="38">
        <f t="shared" si="1"/>
        <v>7250000</v>
      </c>
    </row>
    <row r="8" spans="1:15" ht="14.5" x14ac:dyDescent="0.35">
      <c r="A8" s="10">
        <v>44765</v>
      </c>
      <c r="B8" s="93">
        <v>11</v>
      </c>
      <c r="C8" s="51">
        <v>68127812.239999995</v>
      </c>
      <c r="D8" s="51">
        <v>9330000</v>
      </c>
      <c r="F8" s="10">
        <v>45129</v>
      </c>
      <c r="G8" s="93">
        <v>6</v>
      </c>
      <c r="H8" s="51">
        <v>41272982.380000003</v>
      </c>
      <c r="I8" s="51">
        <f>5950000</f>
        <v>5950000</v>
      </c>
      <c r="J8" s="45"/>
      <c r="K8" s="49">
        <f t="shared" si="0"/>
        <v>-5</v>
      </c>
      <c r="L8" s="38">
        <f t="shared" si="0"/>
        <v>-26854829.859999992</v>
      </c>
      <c r="M8" s="38">
        <f t="shared" si="1"/>
        <v>3380000</v>
      </c>
    </row>
    <row r="9" spans="1:15" ht="14.5" x14ac:dyDescent="0.35">
      <c r="A9" s="10">
        <v>44772</v>
      </c>
      <c r="B9" s="107">
        <v>10</v>
      </c>
      <c r="C9" s="51">
        <v>67716080</v>
      </c>
      <c r="D9" s="108">
        <v>8730000</v>
      </c>
      <c r="F9" s="10">
        <v>45136</v>
      </c>
      <c r="G9" s="93">
        <v>10</v>
      </c>
      <c r="H9" s="51">
        <v>58454747.590000004</v>
      </c>
      <c r="I9" s="108">
        <v>10150000</v>
      </c>
      <c r="J9" s="45"/>
      <c r="K9" s="49">
        <f t="shared" si="0"/>
        <v>0</v>
      </c>
      <c r="L9" s="38">
        <f t="shared" si="0"/>
        <v>-9261332.4099999964</v>
      </c>
      <c r="M9" s="38">
        <f t="shared" si="1"/>
        <v>-1420000</v>
      </c>
    </row>
    <row r="10" spans="1:15" ht="14.5" x14ac:dyDescent="0.35">
      <c r="A10" s="10"/>
      <c r="B10" s="49"/>
      <c r="C10" s="51"/>
      <c r="D10" s="43"/>
      <c r="F10" s="10"/>
      <c r="G10" s="49"/>
      <c r="H10" s="51"/>
      <c r="I10" s="43"/>
      <c r="J10" s="45"/>
      <c r="K10" s="49"/>
      <c r="L10" s="38"/>
      <c r="M10" s="38"/>
    </row>
    <row r="11" spans="1:15" ht="14.5" x14ac:dyDescent="0.3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" thickBot="1" x14ac:dyDescent="0.4">
      <c r="A12" s="52" t="s">
        <v>66</v>
      </c>
      <c r="B12" s="52">
        <f>SUM(B3:B10)</f>
        <v>69</v>
      </c>
      <c r="C12" s="39">
        <f>SUM(C3:C10)</f>
        <v>425153685.75</v>
      </c>
      <c r="D12" s="54">
        <f>SUM(D3:D10)</f>
        <v>61650000</v>
      </c>
      <c r="F12" s="52" t="s">
        <v>66</v>
      </c>
      <c r="G12" s="52">
        <f>SUM(G3:G11)</f>
        <v>45</v>
      </c>
      <c r="H12" s="39">
        <f>SUM(H3:H11)</f>
        <v>273153702.28999996</v>
      </c>
      <c r="I12" s="39">
        <f>SUM(I3:I11)</f>
        <v>46140000</v>
      </c>
      <c r="J12" s="46"/>
      <c r="K12" s="130">
        <f>G12-B12</f>
        <v>-24</v>
      </c>
      <c r="L12" s="39">
        <f>SUM(L3:L11)</f>
        <v>-151999983.45999998</v>
      </c>
      <c r="M12" s="39">
        <f>SUM(M3:M11)</f>
        <v>15510000</v>
      </c>
    </row>
    <row r="13" spans="1:15" ht="13.5" thickTop="1" x14ac:dyDescent="0.3">
      <c r="A13" s="65" t="s">
        <v>72</v>
      </c>
      <c r="B13" s="62">
        <f>SUM(B3:B10)/COUNT(B3:B10)</f>
        <v>9.8571428571428577</v>
      </c>
      <c r="C13" s="63">
        <f>SUM(C3:C10)/COUNT(C3:C10)</f>
        <v>60736240.821428575</v>
      </c>
      <c r="D13" s="63">
        <f>SUM(D3:D10)/COUNT(D3:D10)</f>
        <v>8807142.8571428563</v>
      </c>
      <c r="F13" s="59"/>
      <c r="G13" s="60">
        <f>SUM(G3:G11)/COUNT(G3:G10)</f>
        <v>6.4285714285714288</v>
      </c>
      <c r="H13" s="61">
        <f>SUM(H3:H11)/COUNT(H3:H11)</f>
        <v>39021957.469999991</v>
      </c>
      <c r="I13" s="61">
        <f>SUM(I3:I11)/COUNT(I3:I11)</f>
        <v>6591428.5714285718</v>
      </c>
      <c r="J13" s="48"/>
      <c r="K13" s="62">
        <f>SUM(K3:K11)/COUNT(K3:K10)</f>
        <v>-3.4285714285714284</v>
      </c>
      <c r="L13" s="63">
        <f>SUM(L3:L11)/COUNT(L3:L10)</f>
        <v>-21714283.351428568</v>
      </c>
      <c r="M13" s="63">
        <f>SUM(M3:M11)/COUNT(M3:M10)</f>
        <v>2215714.2857142859</v>
      </c>
    </row>
    <row r="14" spans="1:15" hidden="1" x14ac:dyDescent="0.3">
      <c r="H14" s="78">
        <f>H12/G12</f>
        <v>6070082.2731111106</v>
      </c>
    </row>
    <row r="15" spans="1:15" x14ac:dyDescent="0.3">
      <c r="A15" s="34" t="s">
        <v>71</v>
      </c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4.5" x14ac:dyDescent="0.35">
      <c r="A17" s="10">
        <v>44744</v>
      </c>
      <c r="B17" s="68">
        <v>2</v>
      </c>
      <c r="C17" s="114">
        <v>33152249.620000001</v>
      </c>
      <c r="D17" s="69">
        <f>C17/B17</f>
        <v>16576124.810000001</v>
      </c>
      <c r="F17" s="10">
        <v>45108</v>
      </c>
      <c r="G17" s="68">
        <v>1</v>
      </c>
      <c r="H17" s="113">
        <v>20732253.07</v>
      </c>
      <c r="I17" s="69">
        <f>H17/G17</f>
        <v>20732253.07</v>
      </c>
      <c r="J17" s="45"/>
      <c r="K17" s="68">
        <f t="shared" ref="K17:L22" si="2">G17-B17</f>
        <v>-1</v>
      </c>
      <c r="L17" s="69">
        <f>H17-C17</f>
        <v>-12419996.550000001</v>
      </c>
      <c r="M17" s="69"/>
    </row>
    <row r="18" spans="1:14" ht="14.5" x14ac:dyDescent="0.35">
      <c r="A18" s="10">
        <v>44751</v>
      </c>
      <c r="B18" s="68">
        <v>7</v>
      </c>
      <c r="C18" s="74">
        <v>81415743.909999996</v>
      </c>
      <c r="D18" s="69">
        <f t="shared" ref="D18:D21" si="3">C18/B18</f>
        <v>11630820.558571428</v>
      </c>
      <c r="F18" s="10">
        <v>45115</v>
      </c>
      <c r="G18" s="68">
        <v>7</v>
      </c>
      <c r="H18" s="74">
        <v>90823021.799999997</v>
      </c>
      <c r="I18" s="69">
        <f t="shared" ref="I18:I22" si="4">H18/G18</f>
        <v>12974717.4</v>
      </c>
      <c r="J18" s="45"/>
      <c r="K18" s="68">
        <f t="shared" si="2"/>
        <v>0</v>
      </c>
      <c r="L18" s="69">
        <f>H18-C18</f>
        <v>9407277.8900000006</v>
      </c>
      <c r="M18" s="69"/>
    </row>
    <row r="19" spans="1:14" ht="14.5" x14ac:dyDescent="0.35">
      <c r="A19" s="10">
        <v>44758</v>
      </c>
      <c r="B19" s="68">
        <v>7</v>
      </c>
      <c r="C19" s="74">
        <v>78058119.599999994</v>
      </c>
      <c r="D19" s="69">
        <f t="shared" si="3"/>
        <v>11151159.942857143</v>
      </c>
      <c r="F19" s="10">
        <v>45122</v>
      </c>
      <c r="G19" s="68">
        <v>7</v>
      </c>
      <c r="H19" s="113">
        <f>69851154.71+23000000</f>
        <v>92851154.709999993</v>
      </c>
      <c r="I19" s="69">
        <f t="shared" si="4"/>
        <v>13264450.672857141</v>
      </c>
      <c r="J19" s="45"/>
      <c r="K19" s="68">
        <f t="shared" si="2"/>
        <v>0</v>
      </c>
      <c r="L19" s="69">
        <f>H19-C19</f>
        <v>14793035.109999999</v>
      </c>
      <c r="M19" s="69"/>
    </row>
    <row r="20" spans="1:14" ht="14.5" x14ac:dyDescent="0.35">
      <c r="A20" s="10">
        <v>44765</v>
      </c>
      <c r="B20" s="68">
        <v>7</v>
      </c>
      <c r="C20" s="114">
        <v>85231081.25</v>
      </c>
      <c r="D20" s="69">
        <f t="shared" si="3"/>
        <v>12175868.75</v>
      </c>
      <c r="F20" s="10">
        <v>45129</v>
      </c>
      <c r="G20" s="68">
        <v>7</v>
      </c>
      <c r="H20" s="113">
        <v>93341583.879999995</v>
      </c>
      <c r="I20" s="69">
        <f t="shared" si="4"/>
        <v>13334511.982857142</v>
      </c>
      <c r="J20" s="45"/>
      <c r="K20" s="68">
        <f t="shared" si="2"/>
        <v>0</v>
      </c>
      <c r="L20" s="69">
        <f t="shared" si="2"/>
        <v>8110502.6299999952</v>
      </c>
      <c r="M20" s="69"/>
    </row>
    <row r="21" spans="1:14" ht="14.5" x14ac:dyDescent="0.35">
      <c r="A21" s="10">
        <v>44772</v>
      </c>
      <c r="B21" s="68">
        <v>7</v>
      </c>
      <c r="C21" s="113">
        <v>86728141.079999998</v>
      </c>
      <c r="D21" s="69">
        <f t="shared" si="3"/>
        <v>12389734.439999999</v>
      </c>
      <c r="F21" s="10">
        <v>45136</v>
      </c>
      <c r="G21" s="68">
        <v>7</v>
      </c>
      <c r="H21" s="113">
        <f>73593730.18+20426432.3</f>
        <v>94020162.480000004</v>
      </c>
      <c r="I21" s="69">
        <f t="shared" si="4"/>
        <v>13431451.782857144</v>
      </c>
      <c r="J21" s="45"/>
      <c r="K21" s="68">
        <f t="shared" si="2"/>
        <v>0</v>
      </c>
      <c r="L21" s="69">
        <f t="shared" si="2"/>
        <v>7292021.400000006</v>
      </c>
      <c r="M21" s="69"/>
    </row>
    <row r="22" spans="1:14" ht="14.5" x14ac:dyDescent="0.35">
      <c r="A22" s="10">
        <v>44773</v>
      </c>
      <c r="B22" s="68">
        <v>1</v>
      </c>
      <c r="C22" s="113">
        <v>17537316.739999998</v>
      </c>
      <c r="D22" s="74"/>
      <c r="F22" s="10">
        <v>45138</v>
      </c>
      <c r="G22" s="68">
        <v>2</v>
      </c>
      <c r="H22" s="113">
        <v>19582229</v>
      </c>
      <c r="I22" s="69">
        <f t="shared" si="4"/>
        <v>9791114.5</v>
      </c>
      <c r="J22" s="45"/>
      <c r="K22" s="68"/>
      <c r="L22" s="69">
        <f t="shared" si="2"/>
        <v>2044912.2600000016</v>
      </c>
      <c r="M22" s="69"/>
    </row>
    <row r="23" spans="1:14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35">
      <c r="A24" s="75" t="s">
        <v>66</v>
      </c>
      <c r="B24" s="75">
        <f>SUM(B17:B22)</f>
        <v>31</v>
      </c>
      <c r="C24" s="88">
        <f>SUM(C17:C22)</f>
        <v>382122652.19999999</v>
      </c>
      <c r="D24" s="88">
        <f>C24/B24</f>
        <v>12326537.167741936</v>
      </c>
      <c r="F24" s="75" t="s">
        <v>66</v>
      </c>
      <c r="G24" s="75">
        <f>SUM(G17:G23)</f>
        <v>31</v>
      </c>
      <c r="H24" s="70">
        <f>SUM(H17:H22)</f>
        <v>411350404.94</v>
      </c>
      <c r="I24" s="70">
        <f>H24/G24</f>
        <v>13269367.901290322</v>
      </c>
      <c r="J24" s="46"/>
      <c r="K24" s="68">
        <f>SUM(K17:K23)</f>
        <v>-1</v>
      </c>
      <c r="L24" s="70">
        <f>SUM(L17:L23)</f>
        <v>29227752.740000002</v>
      </c>
      <c r="M24" s="70"/>
    </row>
    <row r="25" spans="1:14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35">
      <c r="A26" s="71" t="s">
        <v>67</v>
      </c>
      <c r="B26" s="71"/>
      <c r="C26" s="72">
        <f>C12+C24</f>
        <v>807276337.95000005</v>
      </c>
      <c r="D26" s="72"/>
      <c r="E26" s="41"/>
      <c r="F26" s="71" t="s">
        <v>67</v>
      </c>
      <c r="G26" s="71"/>
      <c r="H26" s="72">
        <f>H12+H24</f>
        <v>684504107.23000002</v>
      </c>
      <c r="I26" s="72"/>
      <c r="J26" s="46"/>
      <c r="K26" s="71"/>
      <c r="L26" s="72">
        <f>L24+L12</f>
        <v>-122772230.71999997</v>
      </c>
      <c r="M26" s="72"/>
      <c r="N26" s="35" t="s">
        <v>89</v>
      </c>
    </row>
    <row r="27" spans="1:14" ht="13.5" thickTop="1" x14ac:dyDescent="0.3"/>
    <row r="31" spans="1:14" x14ac:dyDescent="0.3">
      <c r="H31" s="122"/>
    </row>
    <row r="32" spans="1:14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78"/>
    </row>
    <row r="40" spans="3:9" ht="15.5" x14ac:dyDescent="0.35">
      <c r="G40" s="123"/>
      <c r="H40" s="124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B26E-2E8F-40E8-9A7F-B4C962A425A8}">
  <dimension ref="A1:I27"/>
  <sheetViews>
    <sheetView topLeftCell="A6" workbookViewId="0">
      <selection activeCell="E17" sqref="E17:G21"/>
    </sheetView>
  </sheetViews>
  <sheetFormatPr defaultRowHeight="14.5" x14ac:dyDescent="0.35"/>
  <cols>
    <col min="1" max="1" width="28.36328125" bestFit="1" customWidth="1"/>
    <col min="2" max="2" width="7.453125" customWidth="1"/>
    <col min="3" max="3" width="15.90625" bestFit="1" customWidth="1"/>
    <col min="4" max="4" width="4.36328125" customWidth="1"/>
    <col min="5" max="5" width="28.36328125" bestFit="1" customWidth="1"/>
    <col min="6" max="6" width="7.54296875" customWidth="1"/>
    <col min="7" max="7" width="15.90625" bestFit="1" customWidth="1"/>
    <col min="8" max="8" width="4.90625" customWidth="1"/>
    <col min="9" max="9" width="15.81640625" bestFit="1" customWidth="1"/>
    <col min="10" max="10" width="4.54296875" customWidth="1"/>
  </cols>
  <sheetData>
    <row r="1" spans="1:9" x14ac:dyDescent="0.35">
      <c r="A1" s="33" t="s">
        <v>73</v>
      </c>
    </row>
    <row r="2" spans="1:9" s="6" customFormat="1" ht="34.5" thickBot="1" x14ac:dyDescent="0.45">
      <c r="A2" s="7" t="s">
        <v>63</v>
      </c>
      <c r="B2" s="8" t="s">
        <v>64</v>
      </c>
      <c r="C2" s="9" t="s">
        <v>65</v>
      </c>
      <c r="E2" s="7" t="s">
        <v>63</v>
      </c>
      <c r="F2" s="8" t="s">
        <v>64</v>
      </c>
      <c r="G2" s="9" t="s">
        <v>65</v>
      </c>
      <c r="I2" s="18" t="s">
        <v>68</v>
      </c>
    </row>
    <row r="3" spans="1:9" ht="15" thickTop="1" x14ac:dyDescent="0.35">
      <c r="A3" s="10">
        <v>43715</v>
      </c>
      <c r="B3" s="11">
        <v>11</v>
      </c>
      <c r="C3" s="12">
        <v>43757080.399999999</v>
      </c>
      <c r="E3" s="10">
        <v>44079</v>
      </c>
      <c r="F3" s="11">
        <v>9</v>
      </c>
      <c r="G3" s="12">
        <v>44798125.329999998</v>
      </c>
      <c r="H3">
        <f>F3-B3</f>
        <v>-2</v>
      </c>
      <c r="I3" s="19">
        <f>G3-C3</f>
        <v>1041044.9299999997</v>
      </c>
    </row>
    <row r="4" spans="1:9" x14ac:dyDescent="0.35">
      <c r="A4" s="10">
        <v>43719</v>
      </c>
      <c r="B4" s="11">
        <v>10</v>
      </c>
      <c r="C4" s="12">
        <v>37012649.020000003</v>
      </c>
      <c r="E4" s="10">
        <v>44080</v>
      </c>
      <c r="F4" s="11">
        <v>10</v>
      </c>
      <c r="G4" s="12">
        <v>48028507.329999998</v>
      </c>
      <c r="H4">
        <f t="shared" ref="H4:I11" si="0">F4-B4</f>
        <v>0</v>
      </c>
      <c r="I4" s="19">
        <f t="shared" si="0"/>
        <v>11015858.309999995</v>
      </c>
    </row>
    <row r="5" spans="1:9" x14ac:dyDescent="0.35">
      <c r="A5" s="10">
        <v>43722</v>
      </c>
      <c r="B5" s="11">
        <v>9</v>
      </c>
      <c r="C5" s="12">
        <v>44256557.909999996</v>
      </c>
      <c r="E5" s="10">
        <v>44086</v>
      </c>
      <c r="F5" s="11">
        <v>11</v>
      </c>
      <c r="G5" s="12">
        <v>53109648.289999999</v>
      </c>
      <c r="H5">
        <f t="shared" si="0"/>
        <v>2</v>
      </c>
      <c r="I5" s="19">
        <f>G5-C5</f>
        <v>8853090.3800000027</v>
      </c>
    </row>
    <row r="6" spans="1:9" x14ac:dyDescent="0.35">
      <c r="A6" s="10">
        <v>43729</v>
      </c>
      <c r="B6" s="11">
        <v>10</v>
      </c>
      <c r="C6" s="12">
        <v>42579748.530000001</v>
      </c>
      <c r="E6" s="10">
        <v>44087</v>
      </c>
      <c r="F6" s="11">
        <v>9</v>
      </c>
      <c r="G6" s="12">
        <v>43832192.18</v>
      </c>
      <c r="H6">
        <f t="shared" si="0"/>
        <v>-1</v>
      </c>
      <c r="I6" s="19">
        <f t="shared" si="0"/>
        <v>1252443.6499999985</v>
      </c>
    </row>
    <row r="7" spans="1:9" x14ac:dyDescent="0.35">
      <c r="A7" s="10">
        <v>43733</v>
      </c>
      <c r="B7" s="11">
        <v>11</v>
      </c>
      <c r="C7" s="12">
        <v>33722605.420000002</v>
      </c>
      <c r="E7" s="10">
        <v>44093</v>
      </c>
      <c r="F7" s="11">
        <v>11</v>
      </c>
      <c r="G7" s="12">
        <v>54026763.240000002</v>
      </c>
      <c r="H7">
        <f t="shared" si="0"/>
        <v>0</v>
      </c>
      <c r="I7" s="19">
        <f t="shared" si="0"/>
        <v>20304157.82</v>
      </c>
    </row>
    <row r="8" spans="1:9" x14ac:dyDescent="0.35">
      <c r="A8" s="10">
        <v>43736</v>
      </c>
      <c r="B8" s="11">
        <v>10</v>
      </c>
      <c r="C8" s="12">
        <v>46038406.079999998</v>
      </c>
      <c r="E8" s="10">
        <v>44100</v>
      </c>
      <c r="F8" s="11">
        <v>10</v>
      </c>
      <c r="G8" s="12">
        <v>55509696</v>
      </c>
      <c r="H8">
        <f t="shared" si="0"/>
        <v>0</v>
      </c>
      <c r="I8" s="19">
        <f t="shared" si="0"/>
        <v>9471289.9200000018</v>
      </c>
    </row>
    <row r="9" spans="1:9" x14ac:dyDescent="0.35">
      <c r="A9" s="10"/>
      <c r="B9" s="11"/>
      <c r="C9" s="12"/>
      <c r="E9" s="10">
        <v>44101</v>
      </c>
      <c r="F9" s="11">
        <v>8</v>
      </c>
      <c r="G9" s="12">
        <v>35896728.270000003</v>
      </c>
      <c r="H9">
        <f t="shared" si="0"/>
        <v>8</v>
      </c>
      <c r="I9" s="19">
        <f t="shared" si="0"/>
        <v>35896728.270000003</v>
      </c>
    </row>
    <row r="10" spans="1:9" x14ac:dyDescent="0.35">
      <c r="A10" s="10"/>
      <c r="B10" s="11"/>
      <c r="C10" s="12"/>
      <c r="E10" s="10"/>
      <c r="F10" s="11"/>
      <c r="G10" s="12"/>
      <c r="I10" s="19"/>
    </row>
    <row r="11" spans="1:9" ht="15" thickBot="1" x14ac:dyDescent="0.4">
      <c r="A11" s="13" t="s">
        <v>66</v>
      </c>
      <c r="B11" s="14">
        <f>SUM(B3:B10)</f>
        <v>61</v>
      </c>
      <c r="C11" s="15">
        <f>SUM(C3:C10)</f>
        <v>247367047.36000001</v>
      </c>
      <c r="E11" s="13" t="s">
        <v>66</v>
      </c>
      <c r="F11" s="14">
        <f>SUM(F3:F10)</f>
        <v>68</v>
      </c>
      <c r="G11" s="15">
        <f>SUM(G3:G10)</f>
        <v>335201660.63999999</v>
      </c>
      <c r="H11">
        <f t="shared" si="0"/>
        <v>7</v>
      </c>
      <c r="I11" s="20">
        <f>SUM(I3:I10)</f>
        <v>87834613.280000001</v>
      </c>
    </row>
    <row r="12" spans="1:9" ht="15" thickTop="1" x14ac:dyDescent="0.35">
      <c r="A12" s="16"/>
      <c r="C12" s="17"/>
      <c r="E12" s="16"/>
      <c r="G12" s="17"/>
      <c r="I12" s="21"/>
    </row>
    <row r="13" spans="1:9" x14ac:dyDescent="0.35">
      <c r="A13" s="30" t="s">
        <v>72</v>
      </c>
      <c r="B13" s="31">
        <f>SUM(B3:B10)/COUNT(B3:B10)</f>
        <v>10.166666666666666</v>
      </c>
      <c r="C13" s="32">
        <f>SUM(C3:C10)/COUNT(C3:C10)</f>
        <v>41227841.226666667</v>
      </c>
      <c r="E13" s="30"/>
      <c r="F13" s="31">
        <f>SUM(F3:F10)/COUNT(F3:F10)</f>
        <v>9.7142857142857135</v>
      </c>
      <c r="G13" s="32">
        <f>SUM(G3:G10)/COUNT(G3:G10)</f>
        <v>47885951.519999996</v>
      </c>
      <c r="H13" s="31">
        <f>SUM(H3:H10)/COUNT(H3:H10)</f>
        <v>1</v>
      </c>
      <c r="I13" s="32">
        <f>SUM(I3:I10)/COUNT(I3:I10)</f>
        <v>12547801.897142857</v>
      </c>
    </row>
    <row r="15" spans="1:9" x14ac:dyDescent="0.35">
      <c r="A15" s="33" t="s">
        <v>71</v>
      </c>
    </row>
    <row r="16" spans="1:9" ht="15" thickBot="1" x14ac:dyDescent="0.4">
      <c r="A16" s="25" t="s">
        <v>70</v>
      </c>
      <c r="B16" s="25" t="s">
        <v>69</v>
      </c>
      <c r="C16" s="25" t="s">
        <v>65</v>
      </c>
      <c r="E16" s="25" t="s">
        <v>70</v>
      </c>
      <c r="F16" s="25" t="s">
        <v>69</v>
      </c>
      <c r="G16" s="25" t="s">
        <v>65</v>
      </c>
      <c r="H16" s="25"/>
      <c r="I16" s="27" t="s">
        <v>68</v>
      </c>
    </row>
    <row r="17" spans="1:9" x14ac:dyDescent="0.35">
      <c r="A17" s="23">
        <v>43715</v>
      </c>
      <c r="B17">
        <v>7</v>
      </c>
      <c r="C17" s="22">
        <v>62523922.020000003</v>
      </c>
      <c r="E17" s="23">
        <v>44079</v>
      </c>
      <c r="F17">
        <v>5</v>
      </c>
      <c r="G17" s="22">
        <v>41957850.049999997</v>
      </c>
      <c r="H17">
        <f>F17-B17</f>
        <v>-2</v>
      </c>
      <c r="I17" s="26">
        <f>G17-C17</f>
        <v>-20566071.970000006</v>
      </c>
    </row>
    <row r="18" spans="1:9" x14ac:dyDescent="0.35">
      <c r="A18" s="23">
        <v>43722</v>
      </c>
      <c r="B18">
        <v>7</v>
      </c>
      <c r="C18" s="22">
        <v>62487648.030000001</v>
      </c>
      <c r="E18" s="23">
        <v>44086</v>
      </c>
      <c r="F18">
        <v>7</v>
      </c>
      <c r="G18" s="22">
        <v>50580042.329999998</v>
      </c>
      <c r="H18">
        <f t="shared" ref="H18:I21" si="1">F18-B18</f>
        <v>0</v>
      </c>
      <c r="I18" s="26">
        <f t="shared" si="1"/>
        <v>-11907605.700000003</v>
      </c>
    </row>
    <row r="19" spans="1:9" x14ac:dyDescent="0.35">
      <c r="A19" s="23">
        <v>43729</v>
      </c>
      <c r="B19">
        <v>7</v>
      </c>
      <c r="C19" s="22">
        <v>65433779.450000003</v>
      </c>
      <c r="E19" s="23">
        <v>44093</v>
      </c>
      <c r="F19">
        <v>7</v>
      </c>
      <c r="G19" s="22">
        <v>56008176.560000002</v>
      </c>
      <c r="H19">
        <f t="shared" si="1"/>
        <v>0</v>
      </c>
      <c r="I19" s="26">
        <f t="shared" si="1"/>
        <v>-9425602.8900000006</v>
      </c>
    </row>
    <row r="20" spans="1:9" x14ac:dyDescent="0.35">
      <c r="A20" s="23">
        <v>43736</v>
      </c>
      <c r="B20">
        <v>7</v>
      </c>
      <c r="C20" s="22">
        <v>65644715.350000001</v>
      </c>
      <c r="E20" s="23">
        <v>44100</v>
      </c>
      <c r="F20">
        <v>7</v>
      </c>
      <c r="G20" s="22">
        <v>59038626</v>
      </c>
      <c r="H20">
        <f t="shared" si="1"/>
        <v>0</v>
      </c>
      <c r="I20" s="26">
        <f t="shared" si="1"/>
        <v>-6606089.3500000015</v>
      </c>
    </row>
    <row r="21" spans="1:9" x14ac:dyDescent="0.35">
      <c r="A21" s="23">
        <v>43738</v>
      </c>
      <c r="B21">
        <v>2</v>
      </c>
      <c r="C21" s="22">
        <v>16815381.420000002</v>
      </c>
      <c r="E21" s="23">
        <v>44104</v>
      </c>
      <c r="F21">
        <v>4</v>
      </c>
      <c r="G21" s="22">
        <v>28831915.289999999</v>
      </c>
      <c r="H21">
        <f t="shared" si="1"/>
        <v>2</v>
      </c>
      <c r="I21" s="26">
        <f t="shared" si="1"/>
        <v>12016533.869999997</v>
      </c>
    </row>
    <row r="22" spans="1:9" x14ac:dyDescent="0.35">
      <c r="A22" s="23"/>
      <c r="C22" s="22"/>
      <c r="E22" s="23"/>
      <c r="G22" s="22"/>
      <c r="I22" s="26"/>
    </row>
    <row r="23" spans="1:9" x14ac:dyDescent="0.35">
      <c r="A23" s="23"/>
      <c r="C23" s="22"/>
      <c r="E23" s="23"/>
      <c r="G23" s="22"/>
    </row>
    <row r="24" spans="1:9" ht="15" thickBot="1" x14ac:dyDescent="0.4">
      <c r="A24" s="4" t="s">
        <v>66</v>
      </c>
      <c r="B24" s="4">
        <f>SUM(B17:B21)</f>
        <v>30</v>
      </c>
      <c r="C24" s="24">
        <f>SUM(C17:C21)</f>
        <v>272905446.26999998</v>
      </c>
      <c r="E24" s="4" t="s">
        <v>66</v>
      </c>
      <c r="F24" s="4">
        <f>SUM(F17:F22)</f>
        <v>30</v>
      </c>
      <c r="G24" s="24">
        <f>SUM(G17:G22)</f>
        <v>236416610.22999999</v>
      </c>
      <c r="I24" s="24">
        <f>SUM(I17:I21)</f>
        <v>-36488836.040000014</v>
      </c>
    </row>
    <row r="25" spans="1:9" ht="15" thickTop="1" x14ac:dyDescent="0.35">
      <c r="C25" s="22"/>
    </row>
    <row r="26" spans="1:9" ht="15" thickBot="1" x14ac:dyDescent="0.4">
      <c r="A26" s="28" t="s">
        <v>67</v>
      </c>
      <c r="B26" s="28"/>
      <c r="C26" s="29">
        <f>C11+C24</f>
        <v>520272493.63</v>
      </c>
      <c r="D26" s="28"/>
      <c r="E26" s="28" t="s">
        <v>67</v>
      </c>
      <c r="F26" s="28"/>
      <c r="G26" s="29">
        <f>G24+G11</f>
        <v>571618270.87</v>
      </c>
      <c r="H26" s="28"/>
      <c r="I26" s="29">
        <f>I24+I11</f>
        <v>51345777.239999987</v>
      </c>
    </row>
    <row r="27" spans="1:9" ht="15" thickTop="1" x14ac:dyDescent="0.3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5E30-4B14-4C00-B011-8719E0BF927D}">
  <dimension ref="A1:O46"/>
  <sheetViews>
    <sheetView workbookViewId="0">
      <selection activeCell="M26" sqref="M26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4" style="35" customWidth="1"/>
    <col min="7" max="7" width="6.6328125" style="35" bestFit="1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50">
        <f>'August 2022'!F38</f>
        <v>44774</v>
      </c>
      <c r="B3" s="49">
        <f>'August 2022'!G38</f>
        <v>10</v>
      </c>
      <c r="C3" s="51">
        <f>'August 2022'!H38</f>
        <v>58938247</v>
      </c>
      <c r="D3" s="51">
        <f>'August 2022'!I38</f>
        <v>9060000</v>
      </c>
      <c r="F3" s="10">
        <v>45108</v>
      </c>
      <c r="G3" s="90">
        <v>9</v>
      </c>
      <c r="H3" s="51">
        <v>59022151</v>
      </c>
      <c r="I3" s="51">
        <v>8840000</v>
      </c>
      <c r="J3" s="45"/>
      <c r="K3" s="49">
        <f t="shared" ref="K3:L10" si="0">G3-B3</f>
        <v>-1</v>
      </c>
      <c r="L3" s="38">
        <f t="shared" si="0"/>
        <v>83904</v>
      </c>
      <c r="M3" s="38">
        <f>D3-I3</f>
        <v>220000</v>
      </c>
    </row>
    <row r="4" spans="1:15" ht="14.5" x14ac:dyDescent="0.35">
      <c r="A4" s="50">
        <f>'August 2022'!F39</f>
        <v>44779</v>
      </c>
      <c r="B4" s="49">
        <f>'August 2022'!G39</f>
        <v>10</v>
      </c>
      <c r="C4" s="51">
        <f>'August 2022'!H39</f>
        <v>69844531</v>
      </c>
      <c r="D4" s="51">
        <f>'August 2022'!I39</f>
        <v>15040000</v>
      </c>
      <c r="F4" s="10">
        <v>45143</v>
      </c>
      <c r="G4" s="93">
        <v>10</v>
      </c>
      <c r="H4" s="51">
        <v>61645880.200000003</v>
      </c>
      <c r="I4" s="51">
        <v>11220000</v>
      </c>
      <c r="J4" s="45"/>
      <c r="K4" s="49">
        <f t="shared" si="0"/>
        <v>0</v>
      </c>
      <c r="L4" s="38">
        <f t="shared" si="0"/>
        <v>-8198650.799999997</v>
      </c>
      <c r="M4" s="38">
        <f t="shared" ref="M4:M9" si="1">D4-I4</f>
        <v>3820000</v>
      </c>
      <c r="O4" s="35" t="s">
        <v>88</v>
      </c>
    </row>
    <row r="5" spans="1:15" ht="14.5" x14ac:dyDescent="0.35">
      <c r="A5" s="50">
        <f>'August 2022'!F40</f>
        <v>44780</v>
      </c>
      <c r="B5" s="49">
        <f>'August 2022'!G40</f>
        <v>9</v>
      </c>
      <c r="C5" s="51">
        <f>'August 2022'!H40</f>
        <v>49799443.789999999</v>
      </c>
      <c r="D5" s="51">
        <f>'August 2022'!I40</f>
        <v>10180000</v>
      </c>
      <c r="F5" s="10">
        <v>45145</v>
      </c>
      <c r="G5" s="93">
        <v>11</v>
      </c>
      <c r="H5" s="51">
        <v>76563317.209999993</v>
      </c>
      <c r="I5" s="51">
        <v>17500000</v>
      </c>
      <c r="J5" s="45"/>
      <c r="K5" s="49">
        <f t="shared" si="0"/>
        <v>2</v>
      </c>
      <c r="L5" s="38">
        <f t="shared" si="0"/>
        <v>26763873.419999994</v>
      </c>
      <c r="M5" s="38">
        <f t="shared" si="1"/>
        <v>-7320000</v>
      </c>
    </row>
    <row r="6" spans="1:15" ht="14.5" x14ac:dyDescent="0.35">
      <c r="A6" s="50">
        <f>'August 2022'!F41</f>
        <v>44786</v>
      </c>
      <c r="B6" s="49">
        <f>'August 2022'!G41</f>
        <v>10</v>
      </c>
      <c r="C6" s="51">
        <f>'August 2022'!H41</f>
        <v>59844800.829999998</v>
      </c>
      <c r="D6" s="51">
        <f>'August 2022'!I41</f>
        <v>8400000</v>
      </c>
      <c r="F6" s="10">
        <v>45150</v>
      </c>
      <c r="G6" s="93">
        <v>9</v>
      </c>
      <c r="H6" s="51">
        <v>53798695.759999998</v>
      </c>
      <c r="I6" s="51">
        <v>8860000</v>
      </c>
      <c r="J6" s="45"/>
      <c r="K6" s="49">
        <f t="shared" si="0"/>
        <v>-1</v>
      </c>
      <c r="L6" s="38">
        <f t="shared" si="0"/>
        <v>-6046105.0700000003</v>
      </c>
      <c r="M6" s="38">
        <f t="shared" si="1"/>
        <v>-460000</v>
      </c>
    </row>
    <row r="7" spans="1:15" ht="14.5" x14ac:dyDescent="0.35">
      <c r="A7" s="50">
        <f>'August 2022'!F42</f>
        <v>44793</v>
      </c>
      <c r="B7" s="49">
        <f>'August 2022'!G42</f>
        <v>10</v>
      </c>
      <c r="C7" s="51">
        <f>'August 2022'!H42</f>
        <v>57989848.700000003</v>
      </c>
      <c r="D7" s="51">
        <f>'August 2022'!I42</f>
        <v>890000</v>
      </c>
      <c r="F7" s="10">
        <v>45157</v>
      </c>
      <c r="G7" s="93">
        <v>10</v>
      </c>
      <c r="H7" s="51">
        <v>60475595</v>
      </c>
      <c r="I7" s="51">
        <v>9670000</v>
      </c>
      <c r="J7" s="45"/>
      <c r="K7" s="49">
        <f t="shared" si="0"/>
        <v>0</v>
      </c>
      <c r="L7" s="38">
        <f t="shared" si="0"/>
        <v>2485746.299999997</v>
      </c>
      <c r="M7" s="38">
        <f t="shared" si="1"/>
        <v>-8780000</v>
      </c>
    </row>
    <row r="8" spans="1:15" ht="14.5" x14ac:dyDescent="0.35">
      <c r="A8" s="50">
        <f>'August 2022'!F43</f>
        <v>44794</v>
      </c>
      <c r="B8" s="49">
        <f>'August 2022'!G43</f>
        <v>9</v>
      </c>
      <c r="C8" s="51">
        <f>'August 2022'!H43</f>
        <v>52846231</v>
      </c>
      <c r="D8" s="51">
        <f>'August 2022'!I43</f>
        <v>6940000</v>
      </c>
      <c r="F8" s="10">
        <v>45158</v>
      </c>
      <c r="G8" s="93">
        <v>9</v>
      </c>
      <c r="H8" s="51">
        <v>53071311</v>
      </c>
      <c r="I8" s="51">
        <v>7850000</v>
      </c>
      <c r="J8" s="45"/>
      <c r="K8" s="49">
        <f t="shared" si="0"/>
        <v>0</v>
      </c>
      <c r="L8" s="38">
        <f t="shared" si="0"/>
        <v>225080</v>
      </c>
      <c r="M8" s="38">
        <f t="shared" si="1"/>
        <v>-910000</v>
      </c>
    </row>
    <row r="9" spans="1:15" ht="14.5" x14ac:dyDescent="0.35">
      <c r="A9" s="50">
        <f>'August 2022'!F44</f>
        <v>44800</v>
      </c>
      <c r="B9" s="49">
        <f>'August 2022'!G44</f>
        <v>10</v>
      </c>
      <c r="C9" s="51">
        <f>'August 2022'!H44</f>
        <v>58554546</v>
      </c>
      <c r="D9" s="51">
        <f>'August 2022'!I44</f>
        <v>7680000</v>
      </c>
      <c r="F9" s="10">
        <v>45164</v>
      </c>
      <c r="G9" s="93">
        <v>10</v>
      </c>
      <c r="H9" s="51">
        <v>52636193.859999999</v>
      </c>
      <c r="I9" s="108">
        <v>9918850</v>
      </c>
      <c r="J9" s="45"/>
      <c r="K9" s="49">
        <f t="shared" si="0"/>
        <v>0</v>
      </c>
      <c r="L9" s="38">
        <f t="shared" si="0"/>
        <v>-5918352.1400000006</v>
      </c>
      <c r="M9" s="38">
        <f t="shared" si="1"/>
        <v>-2238850</v>
      </c>
    </row>
    <row r="10" spans="1:15" ht="14.5" x14ac:dyDescent="0.35">
      <c r="A10" s="50">
        <f>'August 2022'!F45</f>
        <v>44801</v>
      </c>
      <c r="B10" s="49">
        <f>'August 2022'!G45</f>
        <v>10</v>
      </c>
      <c r="C10" s="51">
        <f>'August 2022'!H45</f>
        <v>60523584</v>
      </c>
      <c r="D10" s="51">
        <f>'August 2022'!I45</f>
        <v>8290000</v>
      </c>
      <c r="F10" s="10">
        <v>45165</v>
      </c>
      <c r="G10" s="49">
        <v>10</v>
      </c>
      <c r="H10" s="51">
        <v>62403410.909999996</v>
      </c>
      <c r="I10" s="108">
        <v>9350000</v>
      </c>
      <c r="J10" s="45"/>
      <c r="K10" s="49"/>
      <c r="L10" s="38">
        <f t="shared" si="0"/>
        <v>1879826.9099999964</v>
      </c>
      <c r="M10" s="38"/>
    </row>
    <row r="11" spans="1:15" ht="14.5" x14ac:dyDescent="0.3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" thickBot="1" x14ac:dyDescent="0.4">
      <c r="A12" s="52" t="s">
        <v>66</v>
      </c>
      <c r="B12" s="52">
        <f>SUM(B3:B10)</f>
        <v>78</v>
      </c>
      <c r="C12" s="39">
        <f>SUM(C3:C10)</f>
        <v>468341232.31999999</v>
      </c>
      <c r="D12" s="54">
        <f>SUM(D3:D10)</f>
        <v>66480000</v>
      </c>
      <c r="F12" s="52" t="s">
        <v>66</v>
      </c>
      <c r="G12" s="52">
        <f>SUM(G3:G11)</f>
        <v>78</v>
      </c>
      <c r="H12" s="39">
        <f>SUM(H3:H11)</f>
        <v>479616554.93999994</v>
      </c>
      <c r="I12" s="39">
        <f>SUM(I3:I11)</f>
        <v>83208850</v>
      </c>
      <c r="J12" s="46"/>
      <c r="K12" s="130">
        <f>G12-B12</f>
        <v>0</v>
      </c>
      <c r="L12" s="39">
        <f>SUM(L3:L11)</f>
        <v>11275322.61999999</v>
      </c>
      <c r="M12" s="39">
        <f>SUM(M3:M11)</f>
        <v>-15668850</v>
      </c>
    </row>
    <row r="13" spans="1:15" ht="13.5" thickTop="1" x14ac:dyDescent="0.3">
      <c r="A13" s="65" t="s">
        <v>72</v>
      </c>
      <c r="B13" s="62">
        <f>SUM(B3:B10)/COUNT(B3:B10)</f>
        <v>9.75</v>
      </c>
      <c r="C13" s="63">
        <f>SUM(C3:C10)/COUNT(C3:C10)</f>
        <v>58542654.039999999</v>
      </c>
      <c r="D13" s="63">
        <f>SUM(D3:D10)/COUNT(D3:D10)</f>
        <v>8310000</v>
      </c>
      <c r="F13" s="59"/>
      <c r="G13" s="60">
        <f>SUM(G3:G11)/COUNT(G3:G10)</f>
        <v>9.75</v>
      </c>
      <c r="H13" s="61">
        <f>SUM(H3:H11)/COUNT(H3:H11)</f>
        <v>59952069.367499992</v>
      </c>
      <c r="I13" s="61">
        <f>SUM(I3:I11)/COUNT(I3:I11)</f>
        <v>10401106.25</v>
      </c>
      <c r="J13" s="48"/>
      <c r="K13" s="62">
        <f>SUM(K3:K11)/COUNT(K3:K10)</f>
        <v>0</v>
      </c>
      <c r="L13" s="63">
        <f>SUM(L3:L11)/COUNT(L3:L10)</f>
        <v>1409415.3274999987</v>
      </c>
      <c r="M13" s="63">
        <f>SUM(M3:M11)/COUNT(M3:M10)</f>
        <v>-2238407.1428571427</v>
      </c>
    </row>
    <row r="14" spans="1:15" hidden="1" x14ac:dyDescent="0.3">
      <c r="H14" s="78">
        <f>H12/G12</f>
        <v>6148930.1915384606</v>
      </c>
    </row>
    <row r="15" spans="1:15" x14ac:dyDescent="0.3">
      <c r="A15" s="34" t="s">
        <v>71</v>
      </c>
      <c r="H15" s="78"/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4.5" x14ac:dyDescent="0.35">
      <c r="A17" s="73">
        <v>44779</v>
      </c>
      <c r="B17" s="68">
        <v>6</v>
      </c>
      <c r="C17" s="74">
        <v>80624124.180000007</v>
      </c>
      <c r="D17" s="69">
        <f>C17/B17</f>
        <v>13437354.030000001</v>
      </c>
      <c r="F17" s="10">
        <v>45143</v>
      </c>
      <c r="G17" s="68">
        <v>5</v>
      </c>
      <c r="H17" s="113">
        <f>72019453.24</f>
        <v>72019453.239999995</v>
      </c>
      <c r="I17" s="69">
        <f>H17/G17</f>
        <v>14403890.647999998</v>
      </c>
      <c r="J17" s="45"/>
      <c r="K17" s="68">
        <f t="shared" ref="K17:L22" si="2">G17-B17</f>
        <v>-1</v>
      </c>
      <c r="L17" s="69">
        <f>H17-C17</f>
        <v>-8604670.9400000125</v>
      </c>
      <c r="M17" s="69"/>
    </row>
    <row r="18" spans="1:14" ht="14.5" x14ac:dyDescent="0.35">
      <c r="A18" s="73">
        <v>44786</v>
      </c>
      <c r="B18" s="68">
        <v>7</v>
      </c>
      <c r="C18" s="74">
        <v>79900375.920000002</v>
      </c>
      <c r="D18" s="69">
        <f t="shared" ref="D18:D21" si="3">C18/B18</f>
        <v>11414339.417142857</v>
      </c>
      <c r="F18" s="10">
        <v>45150</v>
      </c>
      <c r="G18" s="68">
        <v>7</v>
      </c>
      <c r="H18" s="74">
        <v>86275212.969999999</v>
      </c>
      <c r="I18" s="69">
        <f t="shared" ref="I18:I21" si="4">H18/G18</f>
        <v>12325030.424285714</v>
      </c>
      <c r="J18" s="45"/>
      <c r="K18" s="68">
        <f t="shared" si="2"/>
        <v>0</v>
      </c>
      <c r="L18" s="69">
        <f>H18-C18</f>
        <v>6374837.049999997</v>
      </c>
      <c r="M18" s="69"/>
    </row>
    <row r="19" spans="1:14" ht="14.5" x14ac:dyDescent="0.35">
      <c r="A19" s="73">
        <v>44793</v>
      </c>
      <c r="B19" s="68">
        <v>7</v>
      </c>
      <c r="C19" s="74">
        <v>86650808.819999993</v>
      </c>
      <c r="D19" s="69">
        <f t="shared" si="3"/>
        <v>12378686.974285712</v>
      </c>
      <c r="F19" s="10">
        <v>45157</v>
      </c>
      <c r="G19" s="68">
        <v>7</v>
      </c>
      <c r="H19" s="113">
        <v>84068564.409999996</v>
      </c>
      <c r="I19" s="69">
        <f t="shared" si="4"/>
        <v>12009794.915714284</v>
      </c>
      <c r="J19" s="45"/>
      <c r="K19" s="68">
        <f t="shared" si="2"/>
        <v>0</v>
      </c>
      <c r="L19" s="69">
        <f>H19-C19</f>
        <v>-2582244.4099999964</v>
      </c>
      <c r="M19" s="69"/>
    </row>
    <row r="20" spans="1:14" ht="14.5" x14ac:dyDescent="0.35">
      <c r="A20" s="73">
        <v>44800</v>
      </c>
      <c r="B20" s="68">
        <v>7</v>
      </c>
      <c r="C20" s="74">
        <v>86108329.560000002</v>
      </c>
      <c r="D20" s="69">
        <f t="shared" si="3"/>
        <v>12301189.937142858</v>
      </c>
      <c r="F20" s="10">
        <v>45164</v>
      </c>
      <c r="G20" s="68">
        <v>7</v>
      </c>
      <c r="H20" s="113">
        <v>86203026</v>
      </c>
      <c r="I20" s="69">
        <f t="shared" si="4"/>
        <v>12314718</v>
      </c>
      <c r="J20" s="45"/>
      <c r="K20" s="68">
        <f t="shared" si="2"/>
        <v>0</v>
      </c>
      <c r="L20" s="69">
        <f t="shared" si="2"/>
        <v>94696.439999997616</v>
      </c>
      <c r="M20" s="69"/>
    </row>
    <row r="21" spans="1:14" ht="14.5" x14ac:dyDescent="0.35">
      <c r="A21" s="73">
        <v>44804</v>
      </c>
      <c r="B21" s="68">
        <v>4</v>
      </c>
      <c r="C21" s="113">
        <v>38597965.57</v>
      </c>
      <c r="D21" s="69">
        <f t="shared" si="3"/>
        <v>9649491.3925000001</v>
      </c>
      <c r="F21" s="10">
        <v>45169</v>
      </c>
      <c r="G21" s="68">
        <v>5</v>
      </c>
      <c r="H21" s="113">
        <v>54127642.829999998</v>
      </c>
      <c r="I21" s="69">
        <f t="shared" si="4"/>
        <v>10825528.566</v>
      </c>
      <c r="J21" s="45"/>
      <c r="K21" s="68">
        <f t="shared" si="2"/>
        <v>1</v>
      </c>
      <c r="L21" s="69">
        <f t="shared" si="2"/>
        <v>15529677.259999998</v>
      </c>
      <c r="M21" s="69"/>
    </row>
    <row r="22" spans="1:14" ht="14.5" x14ac:dyDescent="0.35">
      <c r="A22" s="10"/>
      <c r="B22" s="68"/>
      <c r="C22" s="113"/>
      <c r="D22" s="74"/>
      <c r="F22" s="10"/>
      <c r="G22" s="68"/>
      <c r="H22" s="106"/>
      <c r="I22" s="69"/>
      <c r="J22" s="45"/>
      <c r="K22" s="68"/>
      <c r="L22" s="69">
        <f t="shared" si="2"/>
        <v>0</v>
      </c>
      <c r="M22" s="69"/>
    </row>
    <row r="23" spans="1:14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35">
      <c r="A24" s="75" t="s">
        <v>66</v>
      </c>
      <c r="B24" s="75">
        <f>SUM(B17:B22)</f>
        <v>31</v>
      </c>
      <c r="C24" s="88">
        <f>SUM(C17:C22)</f>
        <v>371881604.05000001</v>
      </c>
      <c r="D24" s="88">
        <f>C24/B24</f>
        <v>11996180.775806451</v>
      </c>
      <c r="F24" s="75" t="s">
        <v>66</v>
      </c>
      <c r="G24" s="75">
        <f>SUM(G17:G23)</f>
        <v>31</v>
      </c>
      <c r="H24" s="70">
        <f>SUM(H17:H22)</f>
        <v>382693899.44999999</v>
      </c>
      <c r="I24" s="70">
        <f>H24/G24</f>
        <v>12344964.498387096</v>
      </c>
      <c r="J24" s="46"/>
      <c r="K24" s="68">
        <f>SUM(K17:K23)</f>
        <v>0</v>
      </c>
      <c r="L24" s="70">
        <f>SUM(L17:L23)</f>
        <v>10812295.399999984</v>
      </c>
      <c r="M24" s="70"/>
    </row>
    <row r="25" spans="1:14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35">
      <c r="A26" s="71" t="s">
        <v>67</v>
      </c>
      <c r="B26" s="71"/>
      <c r="C26" s="72">
        <f>C12+C24</f>
        <v>840222836.37</v>
      </c>
      <c r="D26" s="72"/>
      <c r="E26" s="41"/>
      <c r="F26" s="71" t="s">
        <v>67</v>
      </c>
      <c r="G26" s="71"/>
      <c r="H26" s="72">
        <f>H12+H24</f>
        <v>862310454.38999987</v>
      </c>
      <c r="I26" s="72"/>
      <c r="J26" s="46"/>
      <c r="K26" s="71"/>
      <c r="L26" s="72">
        <f>L24+L12</f>
        <v>22087618.019999973</v>
      </c>
      <c r="M26" s="72"/>
      <c r="N26" s="35" t="s">
        <v>89</v>
      </c>
    </row>
    <row r="27" spans="1:14" ht="13.5" thickTop="1" x14ac:dyDescent="0.3"/>
    <row r="31" spans="1:14" x14ac:dyDescent="0.3">
      <c r="H31" s="122"/>
    </row>
    <row r="32" spans="1:14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78"/>
    </row>
    <row r="40" spans="3:9" ht="15.5" x14ac:dyDescent="0.35">
      <c r="G40" s="123"/>
      <c r="H40" s="124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CE2-DE7C-41EB-B56D-92D52251CDDC}">
  <dimension ref="A1:O46"/>
  <sheetViews>
    <sheetView workbookViewId="0">
      <selection activeCell="H21" sqref="H21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8.36328125" style="35" bestFit="1" customWidth="1"/>
    <col min="7" max="7" width="6.6328125" style="35" bestFit="1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44807</v>
      </c>
      <c r="B3" s="90">
        <v>10</v>
      </c>
      <c r="C3" s="51">
        <v>63319212</v>
      </c>
      <c r="D3" s="51">
        <v>11205400</v>
      </c>
      <c r="F3" s="10">
        <v>45171</v>
      </c>
      <c r="G3" s="90">
        <v>10</v>
      </c>
      <c r="H3" s="51">
        <v>63790058.82</v>
      </c>
      <c r="I3" s="51">
        <v>11780000</v>
      </c>
      <c r="J3" s="45"/>
      <c r="K3" s="49">
        <f t="shared" ref="K3:L10" si="0">G3-B3</f>
        <v>0</v>
      </c>
      <c r="L3" s="38">
        <f t="shared" si="0"/>
        <v>470846.8200000003</v>
      </c>
      <c r="M3" s="38">
        <f>D3-I3</f>
        <v>-574600</v>
      </c>
    </row>
    <row r="4" spans="1:15" ht="14.5" x14ac:dyDescent="0.35">
      <c r="A4" s="10">
        <v>44814</v>
      </c>
      <c r="B4" s="93">
        <v>10</v>
      </c>
      <c r="C4" s="51">
        <v>62630449.780000001</v>
      </c>
      <c r="D4" s="51">
        <v>9521600</v>
      </c>
      <c r="F4" s="10">
        <v>45178</v>
      </c>
      <c r="G4" s="93">
        <v>9</v>
      </c>
      <c r="H4" s="51">
        <v>56405066.850000001</v>
      </c>
      <c r="I4" s="51">
        <v>8690000</v>
      </c>
      <c r="J4" s="45"/>
      <c r="K4" s="49">
        <f t="shared" si="0"/>
        <v>-1</v>
      </c>
      <c r="L4" s="38">
        <f t="shared" si="0"/>
        <v>-6225382.9299999997</v>
      </c>
      <c r="M4" s="38">
        <f t="shared" ref="M4:M9" si="1">D4-I4</f>
        <v>831600</v>
      </c>
      <c r="O4" s="35" t="s">
        <v>88</v>
      </c>
    </row>
    <row r="5" spans="1:15" ht="14.5" x14ac:dyDescent="0.35">
      <c r="A5" s="10">
        <v>44815</v>
      </c>
      <c r="B5" s="93">
        <v>9</v>
      </c>
      <c r="C5" s="51">
        <v>55518105.719999999</v>
      </c>
      <c r="D5" s="51">
        <v>8557600</v>
      </c>
      <c r="F5" s="10">
        <v>45179</v>
      </c>
      <c r="G5" s="93">
        <v>9</v>
      </c>
      <c r="H5" s="51">
        <v>53698479.640000001</v>
      </c>
      <c r="I5" s="51">
        <v>8390000</v>
      </c>
      <c r="J5" s="45"/>
      <c r="K5" s="49">
        <f t="shared" si="0"/>
        <v>0</v>
      </c>
      <c r="L5" s="38">
        <f t="shared" si="0"/>
        <v>-1819626.0799999982</v>
      </c>
      <c r="M5" s="38">
        <f t="shared" si="1"/>
        <v>167600</v>
      </c>
    </row>
    <row r="6" spans="1:15" ht="14.5" x14ac:dyDescent="0.35">
      <c r="A6" s="10">
        <v>44821</v>
      </c>
      <c r="B6" s="93">
        <v>10</v>
      </c>
      <c r="C6" s="51">
        <v>64157323.140000001</v>
      </c>
      <c r="D6" s="51">
        <v>8730000</v>
      </c>
      <c r="F6" s="10">
        <v>45185</v>
      </c>
      <c r="G6" s="93">
        <v>10</v>
      </c>
      <c r="H6" s="51">
        <v>65113026.259999998</v>
      </c>
      <c r="I6" s="51">
        <v>10270000</v>
      </c>
      <c r="J6" s="45"/>
      <c r="K6" s="49">
        <f t="shared" si="0"/>
        <v>0</v>
      </c>
      <c r="L6" s="38">
        <f t="shared" si="0"/>
        <v>955703.11999999732</v>
      </c>
      <c r="M6" s="38">
        <f t="shared" si="1"/>
        <v>-1540000</v>
      </c>
    </row>
    <row r="7" spans="1:15" ht="14.5" x14ac:dyDescent="0.35">
      <c r="A7" s="10">
        <v>44824</v>
      </c>
      <c r="B7" s="93">
        <v>9</v>
      </c>
      <c r="C7" s="51">
        <v>54294985.189999998</v>
      </c>
      <c r="D7" s="51">
        <v>7430000</v>
      </c>
      <c r="F7" s="10">
        <v>45192</v>
      </c>
      <c r="G7" s="93">
        <v>10</v>
      </c>
      <c r="H7" s="51">
        <v>63406245.420000002</v>
      </c>
      <c r="I7" s="51">
        <v>9988150</v>
      </c>
      <c r="J7" s="45"/>
      <c r="K7" s="49">
        <f t="shared" si="0"/>
        <v>1</v>
      </c>
      <c r="L7" s="38">
        <f t="shared" si="0"/>
        <v>9111260.2300000042</v>
      </c>
      <c r="M7" s="38">
        <f t="shared" si="1"/>
        <v>-2558150</v>
      </c>
    </row>
    <row r="8" spans="1:15" ht="14.5" x14ac:dyDescent="0.35">
      <c r="A8" s="10">
        <v>44828</v>
      </c>
      <c r="B8" s="93">
        <v>10</v>
      </c>
      <c r="C8" s="51">
        <v>54148312.75</v>
      </c>
      <c r="D8" s="51">
        <v>9100000</v>
      </c>
      <c r="F8" s="10">
        <v>45193</v>
      </c>
      <c r="G8" s="93">
        <v>10</v>
      </c>
      <c r="H8" s="51">
        <v>54433479.490000002</v>
      </c>
      <c r="I8" s="51">
        <v>8214350</v>
      </c>
      <c r="J8" s="45"/>
      <c r="K8" s="49">
        <f t="shared" si="0"/>
        <v>0</v>
      </c>
      <c r="L8" s="38">
        <f t="shared" si="0"/>
        <v>285166.74000000209</v>
      </c>
      <c r="M8" s="38">
        <f t="shared" si="1"/>
        <v>885650</v>
      </c>
    </row>
    <row r="9" spans="1:15" ht="14.5" x14ac:dyDescent="0.35">
      <c r="A9" s="10">
        <v>44829</v>
      </c>
      <c r="B9" s="107">
        <v>10</v>
      </c>
      <c r="C9" s="51">
        <v>44392281.270000003</v>
      </c>
      <c r="D9" s="108">
        <v>9000000</v>
      </c>
      <c r="F9" s="10">
        <v>45199</v>
      </c>
      <c r="G9" s="107">
        <v>10</v>
      </c>
      <c r="H9" s="51">
        <v>72027035</v>
      </c>
      <c r="I9" s="108">
        <v>9470000</v>
      </c>
      <c r="J9" s="45"/>
      <c r="K9" s="49">
        <f t="shared" si="0"/>
        <v>0</v>
      </c>
      <c r="L9" s="38">
        <f t="shared" si="0"/>
        <v>27634753.729999997</v>
      </c>
      <c r="M9" s="38">
        <f t="shared" si="1"/>
        <v>-470000</v>
      </c>
    </row>
    <row r="10" spans="1:15" ht="14.5" x14ac:dyDescent="0.35">
      <c r="A10" s="50"/>
      <c r="B10" s="49"/>
      <c r="C10" s="51"/>
      <c r="D10" s="51"/>
      <c r="F10" s="10"/>
      <c r="G10" s="49"/>
      <c r="H10" s="51"/>
      <c r="I10" s="108"/>
      <c r="J10" s="45"/>
      <c r="K10" s="49"/>
      <c r="L10" s="38">
        <f t="shared" si="0"/>
        <v>0</v>
      </c>
      <c r="M10" s="38"/>
    </row>
    <row r="11" spans="1:15" ht="14.5" hidden="1" x14ac:dyDescent="0.3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" thickBot="1" x14ac:dyDescent="0.4">
      <c r="A12" s="52" t="s">
        <v>66</v>
      </c>
      <c r="B12" s="52">
        <f>SUM(B3:B10)</f>
        <v>68</v>
      </c>
      <c r="C12" s="39">
        <f>SUM(C3:C10)</f>
        <v>398460669.84999996</v>
      </c>
      <c r="D12" s="54">
        <f>SUM(D3:D10)</f>
        <v>63544600</v>
      </c>
      <c r="F12" s="52" t="s">
        <v>66</v>
      </c>
      <c r="G12" s="52">
        <f>SUM(G3:G11)</f>
        <v>68</v>
      </c>
      <c r="H12" s="39">
        <f>SUM(H3:H11)</f>
        <v>428873391.48000002</v>
      </c>
      <c r="I12" s="39">
        <f>SUM(I3:I11)</f>
        <v>66802500</v>
      </c>
      <c r="J12" s="46"/>
      <c r="K12" s="130">
        <f>G12-B12</f>
        <v>0</v>
      </c>
      <c r="L12" s="39">
        <f>SUM(L3:L11)</f>
        <v>30412721.630000003</v>
      </c>
      <c r="M12" s="39">
        <f>SUM(M3:M11)</f>
        <v>-3257900</v>
      </c>
    </row>
    <row r="13" spans="1:15" ht="13.5" thickTop="1" x14ac:dyDescent="0.3">
      <c r="A13" s="65" t="s">
        <v>72</v>
      </c>
      <c r="B13" s="62">
        <f>SUM(B3:B10)/COUNT(B3:B10)</f>
        <v>9.7142857142857135</v>
      </c>
      <c r="C13" s="63">
        <f>SUM(C3:C10)/COUNT(C3:C10)</f>
        <v>56922952.835714281</v>
      </c>
      <c r="D13" s="63">
        <f>SUM(D3:D10)/COUNT(D3:D10)</f>
        <v>9077800</v>
      </c>
      <c r="F13" s="59"/>
      <c r="G13" s="60">
        <f>SUM(G3:G11)/COUNT(G3:G10)</f>
        <v>9.7142857142857135</v>
      </c>
      <c r="H13" s="61">
        <f>SUM(H3:H11)/COUNT(H3:H11)</f>
        <v>61267627.354285717</v>
      </c>
      <c r="I13" s="61">
        <f>SUM(I3:I11)/COUNT(I3:I11)</f>
        <v>9543214.2857142854</v>
      </c>
      <c r="J13" s="48"/>
      <c r="K13" s="62">
        <f>SUM(K3:K11)/COUNT(K3:K10)</f>
        <v>0</v>
      </c>
      <c r="L13" s="63">
        <f>SUM(L3:L11)/COUNT(L3:L10)</f>
        <v>3801590.2037500003</v>
      </c>
      <c r="M13" s="63">
        <f>SUM(M3:M11)/COUNT(M3:M10)</f>
        <v>-465414.28571428574</v>
      </c>
    </row>
    <row r="14" spans="1:15" hidden="1" x14ac:dyDescent="0.3">
      <c r="H14" s="78">
        <f>H12/G12</f>
        <v>6306961.6394117652</v>
      </c>
    </row>
    <row r="15" spans="1:15" x14ac:dyDescent="0.3">
      <c r="A15" s="34" t="s">
        <v>71</v>
      </c>
      <c r="H15" s="78"/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4.5" x14ac:dyDescent="0.35">
      <c r="A17" s="10">
        <v>44807</v>
      </c>
      <c r="B17" s="68">
        <v>3</v>
      </c>
      <c r="C17" s="74">
        <v>48772476.159999996</v>
      </c>
      <c r="D17" s="69">
        <f>C17/B17</f>
        <v>16257492.053333333</v>
      </c>
      <c r="F17" s="10">
        <v>45171</v>
      </c>
      <c r="G17" s="68">
        <v>2</v>
      </c>
      <c r="H17" s="113">
        <v>35819093.990000002</v>
      </c>
      <c r="I17" s="69">
        <f>H17/G17</f>
        <v>17909546.995000001</v>
      </c>
      <c r="J17" s="45"/>
      <c r="K17" s="68">
        <f t="shared" ref="K17:L22" si="2">G17-B17</f>
        <v>-1</v>
      </c>
      <c r="L17" s="69">
        <f>H17-C17</f>
        <v>-12953382.169999994</v>
      </c>
      <c r="M17" s="69"/>
    </row>
    <row r="18" spans="1:14" ht="14.5" x14ac:dyDescent="0.35">
      <c r="A18" s="10">
        <v>44814</v>
      </c>
      <c r="B18" s="68">
        <v>7</v>
      </c>
      <c r="C18" s="74">
        <v>76394598.459999993</v>
      </c>
      <c r="D18" s="69">
        <f t="shared" ref="D18:D21" si="3">C18/B18</f>
        <v>10913514.065714285</v>
      </c>
      <c r="F18" s="10">
        <v>45178</v>
      </c>
      <c r="G18" s="68">
        <v>7</v>
      </c>
      <c r="H18" s="74">
        <v>97027611.760000005</v>
      </c>
      <c r="I18" s="69">
        <f t="shared" ref="I18:I21" si="4">H18/G18</f>
        <v>13861087.394285714</v>
      </c>
      <c r="J18" s="45"/>
      <c r="K18" s="68">
        <f t="shared" si="2"/>
        <v>0</v>
      </c>
      <c r="L18" s="69">
        <f>H18-C18</f>
        <v>20633013.300000012</v>
      </c>
      <c r="M18" s="69"/>
    </row>
    <row r="19" spans="1:14" ht="14.5" x14ac:dyDescent="0.35">
      <c r="A19" s="10">
        <v>44821</v>
      </c>
      <c r="B19" s="68">
        <v>7</v>
      </c>
      <c r="C19" s="74">
        <f>53738169.61+18380509.55</f>
        <v>72118679.159999996</v>
      </c>
      <c r="D19" s="69">
        <f t="shared" si="3"/>
        <v>10302668.451428572</v>
      </c>
      <c r="F19" s="10">
        <v>45185</v>
      </c>
      <c r="G19" s="68">
        <v>7</v>
      </c>
      <c r="H19" s="113">
        <v>81563852.640000001</v>
      </c>
      <c r="I19" s="69">
        <f t="shared" si="4"/>
        <v>11651978.948571429</v>
      </c>
      <c r="J19" s="45"/>
      <c r="K19" s="68">
        <f t="shared" si="2"/>
        <v>0</v>
      </c>
      <c r="L19" s="69">
        <f>H19-C19</f>
        <v>9445173.4800000042</v>
      </c>
      <c r="M19" s="69"/>
    </row>
    <row r="20" spans="1:14" ht="14.5" x14ac:dyDescent="0.35">
      <c r="A20" s="10">
        <v>44828</v>
      </c>
      <c r="B20" s="68">
        <v>7</v>
      </c>
      <c r="C20" s="74">
        <v>75880018.810000002</v>
      </c>
      <c r="D20" s="69">
        <f t="shared" si="3"/>
        <v>10840002.687142858</v>
      </c>
      <c r="F20" s="10">
        <v>45192</v>
      </c>
      <c r="G20" s="68">
        <v>7</v>
      </c>
      <c r="H20" s="113">
        <f>80206652.33</f>
        <v>80206652.329999998</v>
      </c>
      <c r="I20" s="69">
        <f t="shared" si="4"/>
        <v>11458093.189999999</v>
      </c>
      <c r="J20" s="45"/>
      <c r="K20" s="68">
        <f t="shared" si="2"/>
        <v>0</v>
      </c>
      <c r="L20" s="69">
        <f t="shared" si="2"/>
        <v>4326633.5199999958</v>
      </c>
      <c r="M20" s="69"/>
    </row>
    <row r="21" spans="1:14" ht="14.5" x14ac:dyDescent="0.35">
      <c r="A21" s="10">
        <v>44834</v>
      </c>
      <c r="B21" s="68">
        <v>6</v>
      </c>
      <c r="C21" s="113">
        <v>57289672.020000003</v>
      </c>
      <c r="D21" s="69">
        <f t="shared" si="3"/>
        <v>9548278.6699999999</v>
      </c>
      <c r="F21" s="10">
        <v>45199</v>
      </c>
      <c r="G21" s="68">
        <v>7</v>
      </c>
      <c r="H21" s="74">
        <v>79638409.489999995</v>
      </c>
      <c r="I21" s="69">
        <f t="shared" si="4"/>
        <v>11376915.641428571</v>
      </c>
      <c r="J21" s="45"/>
      <c r="K21" s="68">
        <f t="shared" si="2"/>
        <v>1</v>
      </c>
      <c r="L21" s="69">
        <f t="shared" si="2"/>
        <v>22348737.469999991</v>
      </c>
      <c r="M21" s="69"/>
    </row>
    <row r="22" spans="1:14" ht="14.5" x14ac:dyDescent="0.35">
      <c r="A22" s="10"/>
      <c r="B22" s="68"/>
      <c r="C22" s="113"/>
      <c r="D22" s="74"/>
      <c r="F22" s="10"/>
      <c r="G22" s="68"/>
      <c r="H22" s="106"/>
      <c r="I22" s="69"/>
      <c r="J22" s="45"/>
      <c r="K22" s="68"/>
      <c r="L22" s="69">
        <f t="shared" si="2"/>
        <v>0</v>
      </c>
      <c r="M22" s="69"/>
    </row>
    <row r="23" spans="1:14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35">
      <c r="A24" s="75" t="s">
        <v>66</v>
      </c>
      <c r="B24" s="75">
        <f>SUM(B17:B22)</f>
        <v>30</v>
      </c>
      <c r="C24" s="88">
        <f>SUM(C17:C22)</f>
        <v>330455444.60999995</v>
      </c>
      <c r="D24" s="88">
        <f>C24/B24</f>
        <v>11015181.486999998</v>
      </c>
      <c r="F24" s="75" t="s">
        <v>66</v>
      </c>
      <c r="G24" s="75">
        <f>SUM(G17:G23)</f>
        <v>30</v>
      </c>
      <c r="H24" s="70">
        <f>SUM(H17:H22)</f>
        <v>374255620.20999998</v>
      </c>
      <c r="I24" s="70">
        <f>H24/G24</f>
        <v>12475187.340333333</v>
      </c>
      <c r="J24" s="46"/>
      <c r="K24" s="68">
        <f>SUM(K17:K23)</f>
        <v>0</v>
      </c>
      <c r="L24" s="70">
        <f>SUM(L17:L23)</f>
        <v>43800175.600000009</v>
      </c>
      <c r="M24" s="70"/>
    </row>
    <row r="25" spans="1:14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35">
      <c r="A26" s="71" t="s">
        <v>67</v>
      </c>
      <c r="B26" s="71"/>
      <c r="C26" s="72">
        <f>C12+C24</f>
        <v>728916114.45999992</v>
      </c>
      <c r="D26" s="72"/>
      <c r="E26" s="41"/>
      <c r="F26" s="71" t="s">
        <v>67</v>
      </c>
      <c r="G26" s="71"/>
      <c r="H26" s="72">
        <f>H12+H24</f>
        <v>803129011.69000006</v>
      </c>
      <c r="I26" s="72"/>
      <c r="J26" s="46"/>
      <c r="K26" s="71"/>
      <c r="L26" s="72">
        <f>L24+L12</f>
        <v>74212897.230000019</v>
      </c>
      <c r="M26" s="72"/>
      <c r="N26" s="35" t="s">
        <v>89</v>
      </c>
    </row>
    <row r="27" spans="1:14" ht="13.5" thickTop="1" x14ac:dyDescent="0.3"/>
    <row r="31" spans="1:14" x14ac:dyDescent="0.3">
      <c r="H31" s="122"/>
    </row>
    <row r="32" spans="1:14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78"/>
    </row>
    <row r="40" spans="3:9" ht="15.5" x14ac:dyDescent="0.35">
      <c r="G40" s="123"/>
      <c r="H40" s="124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E0D8-05C0-4D9F-87E5-D02FB9B07A82}">
  <dimension ref="A1:O46"/>
  <sheetViews>
    <sheetView workbookViewId="0">
      <selection sqref="A1:XFD1048576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8.36328125" style="35" bestFit="1" customWidth="1"/>
    <col min="7" max="7" width="6.6328125" style="35" bestFit="1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44835</v>
      </c>
      <c r="B3" s="90">
        <v>10</v>
      </c>
      <c r="C3" s="51">
        <v>71171345</v>
      </c>
      <c r="D3" s="51">
        <v>8710000</v>
      </c>
      <c r="F3" s="10">
        <v>45206</v>
      </c>
      <c r="G3" s="90">
        <v>10</v>
      </c>
      <c r="H3" s="51">
        <v>61991364.32</v>
      </c>
      <c r="I3" s="51">
        <v>9300000</v>
      </c>
      <c r="J3" s="45"/>
      <c r="K3" s="49">
        <f t="shared" ref="K3:L10" si="0">G3-B3</f>
        <v>0</v>
      </c>
      <c r="L3" s="38">
        <f t="shared" si="0"/>
        <v>-9179980.6799999997</v>
      </c>
      <c r="M3" s="38">
        <f>D3-I3</f>
        <v>-590000</v>
      </c>
    </row>
    <row r="4" spans="1:15" ht="14.5" x14ac:dyDescent="0.35">
      <c r="A4" s="10">
        <v>44842</v>
      </c>
      <c r="B4" s="93">
        <v>10</v>
      </c>
      <c r="C4" s="51">
        <v>63825488</v>
      </c>
      <c r="D4" s="51">
        <v>9450000</v>
      </c>
      <c r="F4" s="10">
        <v>45207</v>
      </c>
      <c r="G4" s="93">
        <v>8</v>
      </c>
      <c r="H4" s="51">
        <v>44001662</v>
      </c>
      <c r="I4" s="51">
        <v>7540000</v>
      </c>
      <c r="J4" s="45"/>
      <c r="K4" s="49">
        <f t="shared" si="0"/>
        <v>-2</v>
      </c>
      <c r="L4" s="38">
        <f t="shared" si="0"/>
        <v>-19823826</v>
      </c>
      <c r="M4" s="38">
        <f t="shared" ref="M4:M10" si="1">D4-I4</f>
        <v>1910000</v>
      </c>
      <c r="O4" s="35" t="s">
        <v>88</v>
      </c>
    </row>
    <row r="5" spans="1:15" ht="14.5" x14ac:dyDescent="0.35">
      <c r="A5" s="10">
        <v>44849</v>
      </c>
      <c r="B5" s="93">
        <v>9</v>
      </c>
      <c r="C5" s="51">
        <v>65623569.939999998</v>
      </c>
      <c r="D5" s="51">
        <v>7380000</v>
      </c>
      <c r="F5" s="10">
        <v>45213</v>
      </c>
      <c r="G5" s="93">
        <v>9</v>
      </c>
      <c r="H5" s="51">
        <v>51717993.240000002</v>
      </c>
      <c r="I5" s="51">
        <v>8650000</v>
      </c>
      <c r="J5" s="45"/>
      <c r="K5" s="49">
        <f t="shared" si="0"/>
        <v>0</v>
      </c>
      <c r="L5" s="38">
        <f t="shared" si="0"/>
        <v>-13905576.699999996</v>
      </c>
      <c r="M5" s="38">
        <f t="shared" si="1"/>
        <v>-1270000</v>
      </c>
    </row>
    <row r="6" spans="1:15" ht="14.5" x14ac:dyDescent="0.35">
      <c r="A6" s="10">
        <v>44850</v>
      </c>
      <c r="B6" s="93">
        <v>9</v>
      </c>
      <c r="C6" s="51">
        <v>50477108</v>
      </c>
      <c r="D6" s="51">
        <v>8406000</v>
      </c>
      <c r="F6" s="10">
        <v>45214</v>
      </c>
      <c r="G6" s="93">
        <v>9</v>
      </c>
      <c r="H6" s="51">
        <v>45781318.939999998</v>
      </c>
      <c r="I6" s="51">
        <v>8340000</v>
      </c>
      <c r="J6" s="45"/>
      <c r="K6" s="49">
        <f t="shared" si="0"/>
        <v>0</v>
      </c>
      <c r="L6" s="38">
        <f t="shared" si="0"/>
        <v>-4695789.0600000024</v>
      </c>
      <c r="M6" s="38">
        <f t="shared" si="1"/>
        <v>66000</v>
      </c>
    </row>
    <row r="7" spans="1:15" ht="14.5" x14ac:dyDescent="0.35">
      <c r="A7" s="10">
        <v>44851</v>
      </c>
      <c r="B7" s="93">
        <v>9</v>
      </c>
      <c r="C7" s="51">
        <v>48218864.740000002</v>
      </c>
      <c r="D7" s="51">
        <v>7344700</v>
      </c>
      <c r="F7" s="10">
        <v>45215</v>
      </c>
      <c r="G7" s="93">
        <v>9</v>
      </c>
      <c r="H7" s="51">
        <v>51220837</v>
      </c>
      <c r="I7" s="51">
        <v>9700000</v>
      </c>
      <c r="J7" s="45"/>
      <c r="K7" s="49">
        <f t="shared" si="0"/>
        <v>0</v>
      </c>
      <c r="L7" s="38">
        <f t="shared" si="0"/>
        <v>3001972.2599999979</v>
      </c>
      <c r="M7" s="38">
        <f t="shared" si="1"/>
        <v>-2355300</v>
      </c>
    </row>
    <row r="8" spans="1:15" ht="14.5" x14ac:dyDescent="0.35">
      <c r="A8" s="10">
        <v>44856</v>
      </c>
      <c r="B8" s="93">
        <v>10</v>
      </c>
      <c r="C8" s="51">
        <v>54462045.520000003</v>
      </c>
      <c r="D8" s="51">
        <v>10330000</v>
      </c>
      <c r="F8" s="10">
        <v>45220</v>
      </c>
      <c r="G8" s="93">
        <v>9</v>
      </c>
      <c r="H8" s="51">
        <v>56505135</v>
      </c>
      <c r="I8" s="51">
        <v>8450000</v>
      </c>
      <c r="J8" s="45"/>
      <c r="K8" s="49">
        <f t="shared" si="0"/>
        <v>-1</v>
      </c>
      <c r="L8" s="38">
        <f t="shared" si="0"/>
        <v>2043089.4799999967</v>
      </c>
      <c r="M8" s="38">
        <f t="shared" si="1"/>
        <v>1880000</v>
      </c>
    </row>
    <row r="9" spans="1:15" ht="14.5" x14ac:dyDescent="0.35">
      <c r="A9" s="10">
        <v>44863</v>
      </c>
      <c r="B9" s="107">
        <v>11</v>
      </c>
      <c r="C9" s="51">
        <v>64837409.710000001</v>
      </c>
      <c r="D9" s="108">
        <v>12110000</v>
      </c>
      <c r="F9" s="10">
        <v>45227</v>
      </c>
      <c r="G9" s="107">
        <v>10</v>
      </c>
      <c r="H9" s="51">
        <v>56221388.859999999</v>
      </c>
      <c r="I9" s="108">
        <v>10210000</v>
      </c>
      <c r="J9" s="45"/>
      <c r="K9" s="49">
        <f t="shared" si="0"/>
        <v>-1</v>
      </c>
      <c r="L9" s="38">
        <f t="shared" si="0"/>
        <v>-8616020.8500000015</v>
      </c>
      <c r="M9" s="38">
        <f t="shared" si="1"/>
        <v>1900000</v>
      </c>
    </row>
    <row r="10" spans="1:15" ht="14.5" x14ac:dyDescent="0.35">
      <c r="A10" s="10">
        <v>44864</v>
      </c>
      <c r="B10" s="49">
        <v>10</v>
      </c>
      <c r="C10" s="51">
        <v>59716682</v>
      </c>
      <c r="D10" s="43">
        <v>9100000</v>
      </c>
      <c r="F10" s="10">
        <v>45228</v>
      </c>
      <c r="G10" s="49">
        <v>8</v>
      </c>
      <c r="H10" s="51">
        <v>50454812</v>
      </c>
      <c r="I10" s="108">
        <v>7630000</v>
      </c>
      <c r="J10" s="45"/>
      <c r="K10" s="49">
        <f t="shared" si="0"/>
        <v>-2</v>
      </c>
      <c r="L10" s="38">
        <f t="shared" si="0"/>
        <v>-9261870</v>
      </c>
      <c r="M10" s="38">
        <f t="shared" si="1"/>
        <v>1470000</v>
      </c>
    </row>
    <row r="11" spans="1:15" ht="14.5" hidden="1" x14ac:dyDescent="0.3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" thickBot="1" x14ac:dyDescent="0.4">
      <c r="A12" s="52" t="s">
        <v>66</v>
      </c>
      <c r="B12" s="52">
        <f>SUM(B3:B10)</f>
        <v>78</v>
      </c>
      <c r="C12" s="39">
        <f>SUM(C3:C10)</f>
        <v>478332512.90999997</v>
      </c>
      <c r="D12" s="54">
        <f>SUM(D3:D10)</f>
        <v>72830700</v>
      </c>
      <c r="F12" s="52" t="s">
        <v>66</v>
      </c>
      <c r="G12" s="52">
        <f>SUM(G3:G11)</f>
        <v>72</v>
      </c>
      <c r="H12" s="39">
        <f>SUM(H3:H11)</f>
        <v>417894511.36000001</v>
      </c>
      <c r="I12" s="39">
        <f>SUM(I3:I11)</f>
        <v>69820000</v>
      </c>
      <c r="J12" s="46"/>
      <c r="K12" s="130">
        <f>G12-B12</f>
        <v>-6</v>
      </c>
      <c r="L12" s="39">
        <f>SUM(L3:L11)</f>
        <v>-60438001.550000004</v>
      </c>
      <c r="M12" s="39">
        <f>SUM(M3:M11)</f>
        <v>3010700</v>
      </c>
    </row>
    <row r="13" spans="1:15" ht="13.5" thickTop="1" x14ac:dyDescent="0.3">
      <c r="A13" s="65" t="s">
        <v>72</v>
      </c>
      <c r="B13" s="62">
        <f>SUM(B3:B10)/COUNT(B3:B10)</f>
        <v>9.75</v>
      </c>
      <c r="C13" s="63">
        <f>SUM(C3:C10)/COUNT(C3:C10)</f>
        <v>59791564.113749996</v>
      </c>
      <c r="D13" s="63">
        <f>SUM(D3:D10)/COUNT(D3:D10)</f>
        <v>9103837.5</v>
      </c>
      <c r="F13" s="59"/>
      <c r="G13" s="60">
        <f>SUM(G3:G11)/COUNT(G3:G10)</f>
        <v>9</v>
      </c>
      <c r="H13" s="61">
        <f>SUM(H3:H11)/COUNT(H3:H11)</f>
        <v>52236813.920000002</v>
      </c>
      <c r="I13" s="61">
        <f>SUM(I3:I11)/COUNT(I3:I11)</f>
        <v>8727500</v>
      </c>
      <c r="J13" s="48"/>
      <c r="K13" s="62">
        <f>SUM(K3:K11)/COUNT(K3:K10)</f>
        <v>-0.75</v>
      </c>
      <c r="L13" s="63">
        <f>SUM(L3:L11)/COUNT(L3:L10)</f>
        <v>-7554750.1937500006</v>
      </c>
      <c r="M13" s="63">
        <f>SUM(M3:M11)/COUNT(M3:M10)</f>
        <v>376337.5</v>
      </c>
    </row>
    <row r="14" spans="1:15" hidden="1" x14ac:dyDescent="0.3">
      <c r="H14" s="78">
        <f>H12/G12</f>
        <v>5804090.4355555559</v>
      </c>
    </row>
    <row r="15" spans="1:15" x14ac:dyDescent="0.3">
      <c r="A15" s="34" t="s">
        <v>71</v>
      </c>
      <c r="H15" s="78"/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4.5" x14ac:dyDescent="0.35">
      <c r="A17" s="10">
        <v>44835</v>
      </c>
      <c r="B17" s="68">
        <v>1</v>
      </c>
      <c r="C17" s="74">
        <v>19501252.57</v>
      </c>
      <c r="D17" s="69">
        <f>C17/B17</f>
        <v>19501252.57</v>
      </c>
      <c r="F17" s="10">
        <v>45206</v>
      </c>
      <c r="G17" s="68">
        <v>7</v>
      </c>
      <c r="H17" s="113">
        <v>84430727.980000004</v>
      </c>
      <c r="I17" s="69">
        <f>H17/G17</f>
        <v>12061532.56857143</v>
      </c>
      <c r="J17" s="45"/>
      <c r="K17" s="68">
        <f t="shared" ref="K17:L22" si="2">G17-B17</f>
        <v>6</v>
      </c>
      <c r="L17" s="69">
        <f>H17-C17</f>
        <v>64929475.410000004</v>
      </c>
      <c r="M17" s="69"/>
    </row>
    <row r="18" spans="1:14" ht="14.5" x14ac:dyDescent="0.35">
      <c r="A18" s="10">
        <v>44842</v>
      </c>
      <c r="B18" s="68">
        <v>7</v>
      </c>
      <c r="C18" s="74">
        <f>155493058.07-C5</f>
        <v>89869488.129999995</v>
      </c>
      <c r="D18" s="69">
        <f t="shared" ref="D18:D22" si="3">C18/B18</f>
        <v>12838498.304285714</v>
      </c>
      <c r="F18" s="10">
        <v>45213</v>
      </c>
      <c r="G18" s="68">
        <v>7</v>
      </c>
      <c r="H18" s="74">
        <v>88692182.579999998</v>
      </c>
      <c r="I18" s="69">
        <f t="shared" ref="I18:I21" si="4">H18/G18</f>
        <v>12670311.797142858</v>
      </c>
      <c r="J18" s="45"/>
      <c r="K18" s="68">
        <f t="shared" si="2"/>
        <v>0</v>
      </c>
      <c r="L18" s="69">
        <f>H18-C18</f>
        <v>-1177305.549999997</v>
      </c>
      <c r="M18" s="69"/>
    </row>
    <row r="19" spans="1:14" ht="14.5" x14ac:dyDescent="0.35">
      <c r="A19" s="10">
        <v>44849</v>
      </c>
      <c r="B19" s="68">
        <v>7</v>
      </c>
      <c r="C19" s="74">
        <f>83040032.05</f>
        <v>83040032.049999997</v>
      </c>
      <c r="D19" s="69">
        <f t="shared" si="3"/>
        <v>11862861.721428571</v>
      </c>
      <c r="F19" s="10">
        <v>45220</v>
      </c>
      <c r="G19" s="68">
        <v>7</v>
      </c>
      <c r="H19" s="113">
        <v>79878485.319999993</v>
      </c>
      <c r="I19" s="69">
        <f t="shared" si="4"/>
        <v>11411212.188571427</v>
      </c>
      <c r="J19" s="45"/>
      <c r="K19" s="68">
        <f t="shared" si="2"/>
        <v>0</v>
      </c>
      <c r="L19" s="69">
        <f>H19-C19</f>
        <v>-3161546.7300000042</v>
      </c>
      <c r="M19" s="69"/>
    </row>
    <row r="20" spans="1:14" ht="14.5" x14ac:dyDescent="0.35">
      <c r="A20" s="10">
        <v>44856</v>
      </c>
      <c r="B20" s="68">
        <v>7</v>
      </c>
      <c r="C20" s="74">
        <v>82740334.939999998</v>
      </c>
      <c r="D20" s="69">
        <f t="shared" si="3"/>
        <v>11820047.848571429</v>
      </c>
      <c r="F20" s="10">
        <v>45227</v>
      </c>
      <c r="G20" s="68">
        <v>7</v>
      </c>
      <c r="H20" s="113">
        <v>87438971.239999995</v>
      </c>
      <c r="I20" s="69">
        <f t="shared" si="4"/>
        <v>12491281.605714286</v>
      </c>
      <c r="J20" s="45"/>
      <c r="K20" s="68">
        <f t="shared" si="2"/>
        <v>0</v>
      </c>
      <c r="L20" s="69">
        <f t="shared" si="2"/>
        <v>4698636.299999997</v>
      </c>
      <c r="M20" s="69"/>
    </row>
    <row r="21" spans="1:14" ht="14.5" x14ac:dyDescent="0.35">
      <c r="A21" s="10">
        <v>44863</v>
      </c>
      <c r="B21" s="68">
        <v>7</v>
      </c>
      <c r="C21" s="74">
        <v>83795404.950000003</v>
      </c>
      <c r="D21" s="69">
        <f t="shared" si="3"/>
        <v>11970772.135714287</v>
      </c>
      <c r="F21" s="10">
        <v>45230</v>
      </c>
      <c r="G21" s="68">
        <v>3</v>
      </c>
      <c r="H21" s="106">
        <f>13000000+8000000+7500000</f>
        <v>28500000</v>
      </c>
      <c r="I21" s="69">
        <f t="shared" si="4"/>
        <v>9500000</v>
      </c>
      <c r="J21" s="45"/>
      <c r="K21" s="68">
        <f t="shared" si="2"/>
        <v>-4</v>
      </c>
      <c r="L21" s="69">
        <f t="shared" si="2"/>
        <v>-55295404.950000003</v>
      </c>
      <c r="M21" s="69"/>
    </row>
    <row r="22" spans="1:14" ht="14.5" x14ac:dyDescent="0.35">
      <c r="A22" s="10">
        <v>44865</v>
      </c>
      <c r="B22" s="68">
        <v>2</v>
      </c>
      <c r="C22" s="74">
        <v>22069259.030000001</v>
      </c>
      <c r="D22" s="69">
        <f t="shared" si="3"/>
        <v>11034629.515000001</v>
      </c>
      <c r="F22" s="10"/>
      <c r="G22" s="68"/>
      <c r="H22" s="106"/>
      <c r="I22" s="69"/>
      <c r="J22" s="45"/>
      <c r="K22" s="68"/>
      <c r="L22" s="69">
        <f t="shared" si="2"/>
        <v>-22069259.030000001</v>
      </c>
      <c r="M22" s="69"/>
    </row>
    <row r="23" spans="1:14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35">
      <c r="A24" s="75" t="s">
        <v>66</v>
      </c>
      <c r="B24" s="75">
        <f>SUM(B17:B22)</f>
        <v>31</v>
      </c>
      <c r="C24" s="88">
        <f>SUM(C17:C22)</f>
        <v>381015771.66999996</v>
      </c>
      <c r="D24" s="88">
        <f>C24/B24</f>
        <v>12290831.344193546</v>
      </c>
      <c r="F24" s="75" t="s">
        <v>66</v>
      </c>
      <c r="G24" s="75">
        <f>SUM(G17:G23)</f>
        <v>31</v>
      </c>
      <c r="H24" s="70">
        <f>SUM(H17:H22)</f>
        <v>368940367.12</v>
      </c>
      <c r="I24" s="70">
        <f>H24/G24</f>
        <v>11901302.165161291</v>
      </c>
      <c r="J24" s="46"/>
      <c r="K24" s="68">
        <f>SUM(K17:K23)</f>
        <v>2</v>
      </c>
      <c r="L24" s="70">
        <f>SUM(L17:L23)</f>
        <v>-12075404.550000004</v>
      </c>
      <c r="M24" s="70"/>
    </row>
    <row r="25" spans="1:14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35">
      <c r="A26" s="71" t="s">
        <v>67</v>
      </c>
      <c r="B26" s="71"/>
      <c r="C26" s="72">
        <f>C12+C24</f>
        <v>859348284.57999992</v>
      </c>
      <c r="D26" s="72"/>
      <c r="E26" s="41"/>
      <c r="F26" s="71" t="s">
        <v>67</v>
      </c>
      <c r="G26" s="71"/>
      <c r="H26" s="72">
        <f>H12+H24</f>
        <v>786834878.48000002</v>
      </c>
      <c r="I26" s="72"/>
      <c r="J26" s="46"/>
      <c r="K26" s="71"/>
      <c r="L26" s="72">
        <f>L24+L12</f>
        <v>-72513406.100000009</v>
      </c>
      <c r="M26" s="72"/>
      <c r="N26" s="35" t="s">
        <v>89</v>
      </c>
    </row>
    <row r="27" spans="1:14" ht="13.5" thickTop="1" x14ac:dyDescent="0.3"/>
    <row r="31" spans="1:14" x14ac:dyDescent="0.3">
      <c r="H31" s="122"/>
    </row>
    <row r="32" spans="1:14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78"/>
    </row>
    <row r="40" spans="3:9" ht="15.5" x14ac:dyDescent="0.35">
      <c r="G40" s="123"/>
      <c r="H40" s="124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7AEE-364F-4C67-B295-04D0F5097562}">
  <dimension ref="A1:O46"/>
  <sheetViews>
    <sheetView workbookViewId="0">
      <selection activeCell="A13" sqref="A13:XFD26"/>
    </sheetView>
  </sheetViews>
  <sheetFormatPr defaultRowHeight="13" x14ac:dyDescent="0.3"/>
  <cols>
    <col min="1" max="1" width="29.0898437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8.36328125" style="35" bestFit="1" customWidth="1"/>
    <col min="7" max="7" width="6.6328125" style="35" bestFit="1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44870</v>
      </c>
      <c r="B3" s="90">
        <v>9</v>
      </c>
      <c r="C3" s="51">
        <v>56856010.609999999</v>
      </c>
      <c r="D3" s="51">
        <v>8474000</v>
      </c>
      <c r="F3" s="10">
        <v>45234</v>
      </c>
      <c r="G3" s="90">
        <v>10</v>
      </c>
      <c r="H3" s="51">
        <v>56629905.270000003</v>
      </c>
      <c r="I3" s="51">
        <v>9560000</v>
      </c>
      <c r="J3" s="45"/>
      <c r="K3" s="49">
        <f t="shared" ref="K3:L10" si="0">G3-B3</f>
        <v>1</v>
      </c>
      <c r="L3" s="38">
        <f t="shared" si="0"/>
        <v>-226105.33999999613</v>
      </c>
      <c r="M3" s="38">
        <f>D3-I3</f>
        <v>-1086000</v>
      </c>
    </row>
    <row r="4" spans="1:15" ht="14.5" x14ac:dyDescent="0.35">
      <c r="A4" s="10">
        <v>44871</v>
      </c>
      <c r="B4" s="93">
        <v>9</v>
      </c>
      <c r="C4" s="51">
        <v>47779723.689999998</v>
      </c>
      <c r="D4" s="51">
        <v>7140000</v>
      </c>
      <c r="F4" s="101">
        <v>45235</v>
      </c>
      <c r="G4" s="102"/>
      <c r="H4" s="103"/>
      <c r="I4" s="103"/>
      <c r="J4" s="45"/>
      <c r="K4" s="49">
        <f t="shared" si="0"/>
        <v>-9</v>
      </c>
      <c r="L4" s="38">
        <f t="shared" si="0"/>
        <v>-47779723.689999998</v>
      </c>
      <c r="M4" s="38">
        <f t="shared" ref="M4:M10" si="1">D4-I4</f>
        <v>7140000</v>
      </c>
      <c r="O4" s="35" t="s">
        <v>88</v>
      </c>
    </row>
    <row r="5" spans="1:15" ht="14.5" x14ac:dyDescent="0.35">
      <c r="A5" s="10">
        <v>44877</v>
      </c>
      <c r="B5" s="93">
        <v>10</v>
      </c>
      <c r="C5" s="51">
        <v>67865837.260000005</v>
      </c>
      <c r="D5" s="51">
        <v>16810000</v>
      </c>
      <c r="F5" s="10">
        <v>45241</v>
      </c>
      <c r="G5" s="93">
        <v>10</v>
      </c>
      <c r="H5" s="51">
        <v>63901256.829999998</v>
      </c>
      <c r="I5" s="51">
        <v>16980000</v>
      </c>
      <c r="J5" s="45"/>
      <c r="K5" s="49">
        <f t="shared" si="0"/>
        <v>0</v>
      </c>
      <c r="L5" s="38">
        <f t="shared" si="0"/>
        <v>-3964580.4300000072</v>
      </c>
      <c r="M5" s="38">
        <f t="shared" si="1"/>
        <v>-170000</v>
      </c>
    </row>
    <row r="6" spans="1:15" ht="14.5" x14ac:dyDescent="0.35">
      <c r="A6" s="10">
        <v>44884</v>
      </c>
      <c r="B6" s="93">
        <v>10</v>
      </c>
      <c r="C6" s="51">
        <v>63049515.119999997</v>
      </c>
      <c r="D6" s="51">
        <v>8460000</v>
      </c>
      <c r="F6" s="10">
        <v>45248</v>
      </c>
      <c r="G6" s="93">
        <v>10</v>
      </c>
      <c r="H6" s="51">
        <v>59469007</v>
      </c>
      <c r="I6" s="51">
        <v>8670000</v>
      </c>
      <c r="J6" s="45"/>
      <c r="K6" s="49">
        <f t="shared" si="0"/>
        <v>0</v>
      </c>
      <c r="L6" s="38">
        <f t="shared" si="0"/>
        <v>-3580508.1199999973</v>
      </c>
      <c r="M6" s="38">
        <f t="shared" si="1"/>
        <v>-210000</v>
      </c>
    </row>
    <row r="7" spans="1:15" ht="14.5" x14ac:dyDescent="0.35">
      <c r="A7" s="10">
        <v>44885</v>
      </c>
      <c r="B7" s="93">
        <v>9</v>
      </c>
      <c r="C7" s="51">
        <v>53572841</v>
      </c>
      <c r="D7" s="51">
        <v>7800000</v>
      </c>
      <c r="F7" s="10">
        <v>45249</v>
      </c>
      <c r="G7" s="93">
        <v>10</v>
      </c>
      <c r="H7" s="51">
        <v>45793168</v>
      </c>
      <c r="I7" s="51">
        <v>8900000</v>
      </c>
      <c r="J7" s="45"/>
      <c r="K7" s="49">
        <f t="shared" si="0"/>
        <v>1</v>
      </c>
      <c r="L7" s="38">
        <f t="shared" si="0"/>
        <v>-7779673</v>
      </c>
      <c r="M7" s="38">
        <f t="shared" si="1"/>
        <v>-1100000</v>
      </c>
    </row>
    <row r="8" spans="1:15" ht="14.5" x14ac:dyDescent="0.35">
      <c r="A8" s="10">
        <v>44891</v>
      </c>
      <c r="B8" s="93">
        <v>10</v>
      </c>
      <c r="C8" s="51">
        <v>60783465.32</v>
      </c>
      <c r="D8" s="51">
        <v>11710000</v>
      </c>
      <c r="F8" s="10">
        <v>45256</v>
      </c>
      <c r="G8" s="93"/>
      <c r="H8" s="51"/>
      <c r="I8" s="51"/>
      <c r="J8" s="45"/>
      <c r="K8" s="49">
        <f t="shared" si="0"/>
        <v>-10</v>
      </c>
      <c r="L8" s="38">
        <f t="shared" si="0"/>
        <v>-60783465.32</v>
      </c>
      <c r="M8" s="38">
        <f t="shared" si="1"/>
        <v>11710000</v>
      </c>
    </row>
    <row r="9" spans="1:15" ht="14.5" x14ac:dyDescent="0.35">
      <c r="A9" s="115">
        <v>44892</v>
      </c>
      <c r="B9" s="116">
        <v>9</v>
      </c>
      <c r="C9" s="117"/>
      <c r="D9" s="118"/>
      <c r="F9" s="10"/>
      <c r="G9" s="107"/>
      <c r="H9" s="51"/>
      <c r="I9" s="108"/>
      <c r="J9" s="45"/>
      <c r="K9" s="49">
        <f t="shared" si="0"/>
        <v>-9</v>
      </c>
      <c r="L9" s="38"/>
      <c r="M9" s="38">
        <f t="shared" si="1"/>
        <v>0</v>
      </c>
    </row>
    <row r="10" spans="1:15" ht="14.5" x14ac:dyDescent="0.35">
      <c r="A10" s="10">
        <v>44864</v>
      </c>
      <c r="B10" s="49"/>
      <c r="C10" s="51"/>
      <c r="D10" s="43"/>
      <c r="F10" s="10"/>
      <c r="G10" s="49"/>
      <c r="H10" s="51"/>
      <c r="I10" s="108"/>
      <c r="J10" s="45"/>
      <c r="K10" s="49">
        <f t="shared" si="0"/>
        <v>0</v>
      </c>
      <c r="L10" s="38"/>
      <c r="M10" s="38">
        <f t="shared" si="1"/>
        <v>0</v>
      </c>
    </row>
    <row r="11" spans="1:15" ht="14.5" hidden="1" x14ac:dyDescent="0.3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" thickBot="1" x14ac:dyDescent="0.4">
      <c r="A12" s="52" t="s">
        <v>66</v>
      </c>
      <c r="B12" s="52">
        <f>SUM(B3:B10)</f>
        <v>66</v>
      </c>
      <c r="C12" s="39">
        <f>SUM(C3:C10)</f>
        <v>349907393</v>
      </c>
      <c r="D12" s="54">
        <f>SUM(D3:D10)</f>
        <v>60394000</v>
      </c>
      <c r="F12" s="52" t="s">
        <v>66</v>
      </c>
      <c r="G12" s="52">
        <f>SUM(G3:G11)</f>
        <v>40</v>
      </c>
      <c r="H12" s="39">
        <f>SUM(H3:H11)</f>
        <v>225793337.09999999</v>
      </c>
      <c r="I12" s="39">
        <f>SUM(I3:I11)</f>
        <v>44110000</v>
      </c>
      <c r="J12" s="46"/>
      <c r="K12" s="130">
        <f>G12-B12</f>
        <v>-26</v>
      </c>
      <c r="L12" s="39">
        <f>SUM(L3:L11)</f>
        <v>-124114055.90000001</v>
      </c>
      <c r="M12" s="39">
        <f>SUM(M3:M11)</f>
        <v>16284000</v>
      </c>
    </row>
    <row r="13" spans="1:15" ht="13.5" thickTop="1" x14ac:dyDescent="0.3">
      <c r="A13" s="65" t="s">
        <v>72</v>
      </c>
      <c r="B13" s="62">
        <f>SUM(B3:B10)/COUNT(B3:B10)</f>
        <v>9.4285714285714288</v>
      </c>
      <c r="C13" s="63">
        <f>SUM(C3:C10)/COUNT(C3:C10)</f>
        <v>58317898.833333336</v>
      </c>
      <c r="D13" s="63">
        <f>SUM(D3:D10)/COUNT(D3:D10)</f>
        <v>10065666.666666666</v>
      </c>
      <c r="F13" s="59"/>
      <c r="G13" s="60">
        <f>SUM(G3:G11)/COUNT(G3:G10)</f>
        <v>10</v>
      </c>
      <c r="H13" s="61">
        <f>SUM(H3:H11)/COUNT(H3:H11)</f>
        <v>56448334.274999999</v>
      </c>
      <c r="I13" s="61">
        <f>SUM(I3:I11)/COUNT(I3:I11)</f>
        <v>11027500</v>
      </c>
      <c r="J13" s="48"/>
      <c r="K13" s="62">
        <f>SUM(K3:K11)/COUNT(K3:K10)</f>
        <v>-3.25</v>
      </c>
      <c r="L13" s="63">
        <f>SUM(L3:L11)/COUNT(L3:L10)</f>
        <v>-20685675.983333334</v>
      </c>
      <c r="M13" s="63">
        <f>SUM(M3:M11)/COUNT(M3:M10)</f>
        <v>2035500</v>
      </c>
    </row>
    <row r="14" spans="1:15" hidden="1" x14ac:dyDescent="0.3">
      <c r="H14" s="78">
        <f>H12/G12</f>
        <v>5644833.4275000002</v>
      </c>
    </row>
    <row r="15" spans="1:15" x14ac:dyDescent="0.3">
      <c r="A15" s="34" t="s">
        <v>71</v>
      </c>
      <c r="H15" s="78"/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4.5" x14ac:dyDescent="0.35">
      <c r="A17" s="10">
        <v>44870</v>
      </c>
      <c r="B17" s="68">
        <v>5</v>
      </c>
      <c r="C17" s="74">
        <v>66672787.009999998</v>
      </c>
      <c r="D17" s="69">
        <f>C17/B17</f>
        <v>13334557.401999999</v>
      </c>
      <c r="F17" s="10">
        <v>45234</v>
      </c>
      <c r="G17" s="68">
        <v>4</v>
      </c>
      <c r="H17" s="113">
        <v>64494188.420000002</v>
      </c>
      <c r="I17" s="69">
        <f>H17/G17</f>
        <v>16123547.105</v>
      </c>
      <c r="J17" s="45"/>
      <c r="K17" s="68">
        <f t="shared" ref="K17:L22" si="2">G17-B17</f>
        <v>-1</v>
      </c>
      <c r="L17" s="69">
        <f>H17-C17</f>
        <v>-2178598.5899999961</v>
      </c>
      <c r="M17" s="69"/>
    </row>
    <row r="18" spans="1:14" ht="14.5" x14ac:dyDescent="0.35">
      <c r="A18" s="10">
        <v>44877</v>
      </c>
      <c r="B18" s="68">
        <v>7</v>
      </c>
      <c r="C18" s="74">
        <v>84682074.560000002</v>
      </c>
      <c r="D18" s="69">
        <f>C18/B18</f>
        <v>12097439.222857144</v>
      </c>
      <c r="F18" s="10">
        <v>45241</v>
      </c>
      <c r="G18" s="68">
        <v>7</v>
      </c>
      <c r="H18" s="74">
        <v>88383683.420000002</v>
      </c>
      <c r="I18" s="69">
        <f t="shared" ref="I18:I21" si="3">H18/G18</f>
        <v>12626240.48857143</v>
      </c>
      <c r="J18" s="45"/>
      <c r="K18" s="68">
        <f t="shared" si="2"/>
        <v>0</v>
      </c>
      <c r="L18" s="69">
        <f>H18-C18</f>
        <v>3701608.8599999994</v>
      </c>
      <c r="M18" s="69"/>
    </row>
    <row r="19" spans="1:14" ht="14.5" x14ac:dyDescent="0.35">
      <c r="A19" s="10">
        <v>44884</v>
      </c>
      <c r="B19" s="68">
        <v>7</v>
      </c>
      <c r="C19" s="74">
        <v>78594519.120000005</v>
      </c>
      <c r="D19" s="69">
        <f t="shared" ref="D19:D21" si="4">C19/B19</f>
        <v>11227788.445714286</v>
      </c>
      <c r="F19" s="10">
        <v>45248</v>
      </c>
      <c r="G19" s="68">
        <v>7</v>
      </c>
      <c r="H19" s="113">
        <f>64654581.15+19000000</f>
        <v>83654581.150000006</v>
      </c>
      <c r="I19" s="69">
        <f t="shared" si="3"/>
        <v>11950654.450000001</v>
      </c>
      <c r="J19" s="45"/>
      <c r="K19" s="68">
        <f t="shared" si="2"/>
        <v>0</v>
      </c>
      <c r="L19" s="69">
        <f>H19-C19</f>
        <v>5060062.0300000012</v>
      </c>
      <c r="M19" s="69"/>
    </row>
    <row r="20" spans="1:14" ht="14.5" x14ac:dyDescent="0.35">
      <c r="A20" s="10">
        <v>44891</v>
      </c>
      <c r="B20" s="68">
        <v>7</v>
      </c>
      <c r="C20" s="74">
        <v>78029054.170000002</v>
      </c>
      <c r="D20" s="69">
        <f t="shared" si="4"/>
        <v>11147007.73857143</v>
      </c>
      <c r="F20" s="10">
        <v>45255</v>
      </c>
      <c r="G20" s="68">
        <v>7</v>
      </c>
      <c r="H20" s="113"/>
      <c r="I20" s="69">
        <f t="shared" si="3"/>
        <v>0</v>
      </c>
      <c r="J20" s="45"/>
      <c r="K20" s="68">
        <f t="shared" si="2"/>
        <v>0</v>
      </c>
      <c r="L20" s="69">
        <f t="shared" si="2"/>
        <v>-78029054.170000002</v>
      </c>
      <c r="M20" s="69"/>
    </row>
    <row r="21" spans="1:14" ht="14.5" x14ac:dyDescent="0.35">
      <c r="A21" s="10">
        <v>44895</v>
      </c>
      <c r="B21" s="68">
        <v>4</v>
      </c>
      <c r="C21" s="74">
        <v>42457057.189999998</v>
      </c>
      <c r="D21" s="69">
        <f t="shared" si="4"/>
        <v>10614264.297499999</v>
      </c>
      <c r="F21" s="10">
        <v>45260</v>
      </c>
      <c r="G21" s="68">
        <v>5</v>
      </c>
      <c r="H21" s="106"/>
      <c r="I21" s="69">
        <f t="shared" si="3"/>
        <v>0</v>
      </c>
      <c r="J21" s="45"/>
      <c r="K21" s="68">
        <f t="shared" si="2"/>
        <v>1</v>
      </c>
      <c r="L21" s="69">
        <f t="shared" si="2"/>
        <v>-42457057.189999998</v>
      </c>
      <c r="M21" s="69"/>
    </row>
    <row r="22" spans="1:14" ht="14.5" x14ac:dyDescent="0.35">
      <c r="A22" s="10"/>
      <c r="B22" s="68"/>
      <c r="C22" s="74"/>
      <c r="D22" s="69"/>
      <c r="F22" s="10"/>
      <c r="G22" s="68"/>
      <c r="H22" s="106"/>
      <c r="I22" s="69"/>
      <c r="J22" s="45"/>
      <c r="K22" s="68"/>
      <c r="L22" s="69">
        <f t="shared" si="2"/>
        <v>0</v>
      </c>
      <c r="M22" s="69"/>
    </row>
    <row r="23" spans="1:14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35">
      <c r="A24" s="75" t="s">
        <v>66</v>
      </c>
      <c r="B24" s="75">
        <f>SUM(B17:B22)</f>
        <v>30</v>
      </c>
      <c r="C24" s="88">
        <f>SUM(C17:C22)</f>
        <v>350435492.05000001</v>
      </c>
      <c r="D24" s="88">
        <f>C24/B24</f>
        <v>11681183.068333333</v>
      </c>
      <c r="F24" s="75" t="s">
        <v>66</v>
      </c>
      <c r="G24" s="75">
        <f>SUM(G17:G23)</f>
        <v>30</v>
      </c>
      <c r="H24" s="70">
        <f>SUM(H17:H22)</f>
        <v>236532452.99000001</v>
      </c>
      <c r="I24" s="70">
        <f>H24/G24</f>
        <v>7884415.0996666672</v>
      </c>
      <c r="J24" s="46"/>
      <c r="K24" s="68">
        <f>SUM(K17:K23)</f>
        <v>0</v>
      </c>
      <c r="L24" s="70">
        <f>SUM(L17:L23)</f>
        <v>-113903039.06</v>
      </c>
      <c r="M24" s="70"/>
    </row>
    <row r="25" spans="1:14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35">
      <c r="A26" s="71" t="s">
        <v>67</v>
      </c>
      <c r="B26" s="71"/>
      <c r="C26" s="72">
        <f>C12+C24</f>
        <v>700342885.04999995</v>
      </c>
      <c r="D26" s="72"/>
      <c r="E26" s="41"/>
      <c r="F26" s="71" t="s">
        <v>67</v>
      </c>
      <c r="G26" s="71"/>
      <c r="H26" s="72">
        <f>H12+H24</f>
        <v>462325790.09000003</v>
      </c>
      <c r="I26" s="72"/>
      <c r="J26" s="46"/>
      <c r="K26" s="71"/>
      <c r="L26" s="72">
        <f>L24+L12</f>
        <v>-238017094.96000001</v>
      </c>
      <c r="M26" s="72"/>
      <c r="N26" s="35" t="s">
        <v>89</v>
      </c>
    </row>
    <row r="27" spans="1:14" ht="13.5" thickTop="1" x14ac:dyDescent="0.3"/>
    <row r="31" spans="1:14" x14ac:dyDescent="0.3">
      <c r="H31" s="122"/>
    </row>
    <row r="32" spans="1:14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78"/>
    </row>
    <row r="40" spans="3:9" ht="15.5" x14ac:dyDescent="0.35">
      <c r="G40" s="123"/>
      <c r="H40" s="124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C40B-C0BC-478A-A8E8-7338EB06BC9B}">
  <dimension ref="A1:O47"/>
  <sheetViews>
    <sheetView workbookViewId="0">
      <selection sqref="A1:XFD1048576"/>
    </sheetView>
  </sheetViews>
  <sheetFormatPr defaultRowHeight="13" x14ac:dyDescent="0.3"/>
  <cols>
    <col min="1" max="1" width="29.08984375" style="35" customWidth="1"/>
    <col min="2" max="2" width="9.54296875" style="35" customWidth="1"/>
    <col min="3" max="3" width="14.6328125" style="35" bestFit="1" customWidth="1"/>
    <col min="4" max="4" width="14.26953125" style="35" bestFit="1" customWidth="1"/>
    <col min="5" max="5" width="2.08984375" style="35" customWidth="1"/>
    <col min="6" max="6" width="25.6328125" style="35" customWidth="1"/>
    <col min="7" max="7" width="6.6328125" style="35" bestFit="1" customWidth="1"/>
    <col min="8" max="8" width="14.26953125" style="35" customWidth="1"/>
    <col min="9" max="9" width="14.26953125" style="35" bestFit="1" customWidth="1"/>
    <col min="10" max="10" width="1.7265625" style="47" customWidth="1"/>
    <col min="11" max="11" width="6" style="35" bestFit="1" customWidth="1"/>
    <col min="12" max="12" width="15.816406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44898</v>
      </c>
      <c r="B3" s="90">
        <v>11</v>
      </c>
      <c r="C3" s="119">
        <v>89129785.760000005</v>
      </c>
      <c r="D3" s="51">
        <v>31100000</v>
      </c>
      <c r="F3" s="10">
        <v>45262</v>
      </c>
      <c r="G3" s="90">
        <v>11</v>
      </c>
      <c r="H3" s="119">
        <v>95327821.260000005</v>
      </c>
      <c r="I3" s="51">
        <v>37200000</v>
      </c>
      <c r="J3" s="45"/>
      <c r="K3" s="49">
        <f t="shared" ref="K3:L12" si="0">G3-B3</f>
        <v>0</v>
      </c>
      <c r="L3" s="38">
        <f t="shared" si="0"/>
        <v>6198035.5</v>
      </c>
      <c r="M3" s="38">
        <f>D3-I3</f>
        <v>-6100000</v>
      </c>
    </row>
    <row r="4" spans="1:15" ht="14.5" x14ac:dyDescent="0.35">
      <c r="A4" s="10">
        <v>44905</v>
      </c>
      <c r="B4" s="93">
        <v>10</v>
      </c>
      <c r="C4" s="51">
        <v>63920904.399999999</v>
      </c>
      <c r="D4" s="51">
        <v>8860000</v>
      </c>
      <c r="F4" s="10">
        <v>45269</v>
      </c>
      <c r="G4" s="93">
        <v>9</v>
      </c>
      <c r="H4" s="51">
        <v>70707318</v>
      </c>
      <c r="I4" s="51">
        <v>8510000</v>
      </c>
      <c r="J4" s="45"/>
      <c r="K4" s="49">
        <f t="shared" si="0"/>
        <v>-1</v>
      </c>
      <c r="L4" s="38">
        <f t="shared" si="0"/>
        <v>6786413.6000000015</v>
      </c>
      <c r="M4" s="38">
        <f t="shared" ref="M4:M12" si="1">D4-I4</f>
        <v>350000</v>
      </c>
      <c r="O4" s="35" t="s">
        <v>88</v>
      </c>
    </row>
    <row r="5" spans="1:15" ht="14.5" x14ac:dyDescent="0.35">
      <c r="A5" s="10">
        <v>44906</v>
      </c>
      <c r="B5" s="93">
        <v>9</v>
      </c>
      <c r="C5" s="51">
        <v>54303607.119999997</v>
      </c>
      <c r="D5" s="51">
        <v>7980000</v>
      </c>
      <c r="F5" s="10">
        <v>45270</v>
      </c>
      <c r="G5" s="93">
        <v>9</v>
      </c>
      <c r="H5" s="51">
        <v>62903667</v>
      </c>
      <c r="I5" s="51">
        <f>790000+820000+1010000+1100000+820000+800000+1050000+730000+1250000</f>
        <v>8370000</v>
      </c>
      <c r="J5" s="45"/>
      <c r="K5" s="49">
        <f t="shared" si="0"/>
        <v>0</v>
      </c>
      <c r="L5" s="38">
        <f t="shared" si="0"/>
        <v>8600059.8800000027</v>
      </c>
      <c r="M5" s="38">
        <f t="shared" si="1"/>
        <v>-390000</v>
      </c>
    </row>
    <row r="6" spans="1:15" ht="14.5" x14ac:dyDescent="0.35">
      <c r="A6" s="10">
        <v>44912</v>
      </c>
      <c r="B6" s="93">
        <v>10</v>
      </c>
      <c r="C6" s="51">
        <v>61356987.960000001</v>
      </c>
      <c r="D6" s="51">
        <v>8500000</v>
      </c>
      <c r="F6" s="10">
        <v>45276</v>
      </c>
      <c r="G6" s="93">
        <v>9</v>
      </c>
      <c r="H6" s="51">
        <v>60253107</v>
      </c>
      <c r="I6" s="51">
        <v>8830000</v>
      </c>
      <c r="J6" s="45"/>
      <c r="K6" s="49">
        <f t="shared" si="0"/>
        <v>-1</v>
      </c>
      <c r="L6" s="38">
        <f t="shared" si="0"/>
        <v>-1103880.9600000009</v>
      </c>
      <c r="M6" s="38">
        <f t="shared" si="1"/>
        <v>-330000</v>
      </c>
    </row>
    <row r="7" spans="1:15" ht="14.5" x14ac:dyDescent="0.35">
      <c r="A7" s="10">
        <v>44913</v>
      </c>
      <c r="B7" s="93">
        <v>9</v>
      </c>
      <c r="C7" s="51">
        <v>46322224.189999998</v>
      </c>
      <c r="D7" s="51">
        <v>8350000</v>
      </c>
      <c r="F7" s="10">
        <v>45277</v>
      </c>
      <c r="G7" s="93">
        <v>10</v>
      </c>
      <c r="H7" s="51">
        <v>54561661</v>
      </c>
      <c r="I7" s="51">
        <v>9550000</v>
      </c>
      <c r="J7" s="45"/>
      <c r="K7" s="49">
        <f t="shared" si="0"/>
        <v>1</v>
      </c>
      <c r="L7" s="38">
        <f t="shared" si="0"/>
        <v>8239436.8100000024</v>
      </c>
      <c r="M7" s="38">
        <f t="shared" si="1"/>
        <v>-1200000</v>
      </c>
    </row>
    <row r="8" spans="1:15" ht="14.5" x14ac:dyDescent="0.35">
      <c r="A8" s="10">
        <v>44919</v>
      </c>
      <c r="B8" s="93">
        <v>9</v>
      </c>
      <c r="C8" s="51">
        <v>65251239.789999999</v>
      </c>
      <c r="D8" s="51">
        <v>7660000</v>
      </c>
      <c r="F8" s="10">
        <v>45283</v>
      </c>
      <c r="G8" s="93">
        <v>10</v>
      </c>
      <c r="H8" s="51">
        <v>70855944.489999995</v>
      </c>
      <c r="I8" s="51">
        <v>9810000</v>
      </c>
      <c r="J8" s="45"/>
      <c r="K8" s="49">
        <f t="shared" si="0"/>
        <v>1</v>
      </c>
      <c r="L8" s="38">
        <f t="shared" si="0"/>
        <v>5604704.6999999955</v>
      </c>
      <c r="M8" s="38">
        <f t="shared" si="1"/>
        <v>-2150000</v>
      </c>
    </row>
    <row r="9" spans="1:15" ht="14.5" x14ac:dyDescent="0.35">
      <c r="A9" s="10">
        <v>44921</v>
      </c>
      <c r="B9" s="107">
        <v>9</v>
      </c>
      <c r="C9" s="51">
        <v>67809183.090000004</v>
      </c>
      <c r="D9" s="108">
        <v>8750000</v>
      </c>
      <c r="F9" s="10">
        <v>45286</v>
      </c>
      <c r="G9" s="107">
        <v>10</v>
      </c>
      <c r="H9" s="51">
        <v>79323722</v>
      </c>
      <c r="I9" s="108">
        <v>12640000</v>
      </c>
      <c r="J9" s="45"/>
      <c r="K9" s="49">
        <f t="shared" si="0"/>
        <v>1</v>
      </c>
      <c r="L9" s="38">
        <f t="shared" si="0"/>
        <v>11514538.909999996</v>
      </c>
      <c r="M9" s="38">
        <f t="shared" si="1"/>
        <v>-3890000</v>
      </c>
    </row>
    <row r="10" spans="1:15" ht="14.5" x14ac:dyDescent="0.35">
      <c r="A10" s="10">
        <v>44922</v>
      </c>
      <c r="B10" s="49">
        <v>9</v>
      </c>
      <c r="C10" s="51">
        <v>64905176.43</v>
      </c>
      <c r="D10" s="43">
        <f>770000+680000+730000+720000+990000+1020000+840000+4000000+1140000</f>
        <v>10890000</v>
      </c>
      <c r="F10" s="10">
        <v>45290</v>
      </c>
      <c r="G10" s="49">
        <v>10</v>
      </c>
      <c r="H10" s="51">
        <v>74549472</v>
      </c>
      <c r="I10" s="108">
        <v>9730000</v>
      </c>
      <c r="J10" s="45"/>
      <c r="K10" s="49">
        <f t="shared" si="0"/>
        <v>1</v>
      </c>
      <c r="L10" s="38">
        <f t="shared" si="0"/>
        <v>9644295.5700000003</v>
      </c>
      <c r="M10" s="38">
        <f t="shared" si="1"/>
        <v>1160000</v>
      </c>
    </row>
    <row r="11" spans="1:15" ht="15" hidden="1" thickBot="1" x14ac:dyDescent="0.4">
      <c r="A11" s="10">
        <v>44923</v>
      </c>
      <c r="B11" s="49"/>
      <c r="C11" s="51"/>
      <c r="D11" s="43">
        <f t="shared" ref="D11" si="2">770000+680000+730000+720000+990000+1020000+840000+4000000+1140000</f>
        <v>10890000</v>
      </c>
      <c r="F11" s="10"/>
      <c r="G11" s="49"/>
      <c r="H11" s="51"/>
      <c r="I11" s="38"/>
      <c r="J11" s="45"/>
      <c r="K11" s="129"/>
      <c r="L11" s="38">
        <f t="shared" si="0"/>
        <v>0</v>
      </c>
      <c r="M11" s="38">
        <f t="shared" si="1"/>
        <v>10890000</v>
      </c>
    </row>
    <row r="12" spans="1:15" ht="14.5" x14ac:dyDescent="0.35">
      <c r="A12" s="10">
        <v>44926</v>
      </c>
      <c r="B12" s="93">
        <v>10</v>
      </c>
      <c r="C12" s="108">
        <v>68956919.890000001</v>
      </c>
      <c r="D12" s="43">
        <v>8850000</v>
      </c>
      <c r="F12" s="131"/>
      <c r="G12" s="49"/>
      <c r="H12" s="51"/>
      <c r="I12" s="38"/>
      <c r="J12" s="45"/>
      <c r="K12" s="121"/>
      <c r="L12" s="38">
        <f t="shared" si="0"/>
        <v>-68956919.890000001</v>
      </c>
      <c r="M12" s="38">
        <f t="shared" si="1"/>
        <v>8850000</v>
      </c>
    </row>
    <row r="13" spans="1:15" ht="15" thickBot="1" x14ac:dyDescent="0.4">
      <c r="A13" s="52" t="s">
        <v>66</v>
      </c>
      <c r="B13" s="52">
        <f>SUM(B3:B12)</f>
        <v>86</v>
      </c>
      <c r="C13" s="39">
        <f>SUM(C3:C12)</f>
        <v>581956028.63000011</v>
      </c>
      <c r="D13" s="39">
        <f>SUM(D3:D12)</f>
        <v>111830000</v>
      </c>
      <c r="E13" s="54">
        <f>SUM(D3:D10)</f>
        <v>92090000</v>
      </c>
      <c r="F13" s="52" t="s">
        <v>66</v>
      </c>
      <c r="G13" s="52">
        <f>SUM(G3:G12)</f>
        <v>78</v>
      </c>
      <c r="H13" s="39">
        <f>SUM(H3:H12)</f>
        <v>568482712.75</v>
      </c>
      <c r="I13" s="39">
        <f>SUM(I3:I12)</f>
        <v>104640000</v>
      </c>
      <c r="J13" s="39">
        <f>SUM(I3:I11)</f>
        <v>104640000</v>
      </c>
      <c r="K13" s="133">
        <f>COUNT(K3:K12)</f>
        <v>8</v>
      </c>
      <c r="L13" s="132">
        <f>SUM(L3:L12)</f>
        <v>-13473315.880000003</v>
      </c>
      <c r="M13" s="39">
        <f>SUM(M3:M12)</f>
        <v>7190000</v>
      </c>
      <c r="N13" s="39"/>
    </row>
    <row r="14" spans="1:15" ht="13.5" thickTop="1" x14ac:dyDescent="0.3">
      <c r="A14" s="65" t="s">
        <v>72</v>
      </c>
      <c r="B14" s="62">
        <f>SUM(B3:B12)/COUNT(B3:B12)</f>
        <v>9.5555555555555554</v>
      </c>
      <c r="C14" s="63">
        <f>SUM(C3:C12)/COUNT(C3:C12)</f>
        <v>64661780.958888903</v>
      </c>
      <c r="D14" s="63">
        <f>SUM(D3:D12)/COUNT(D3:D12)</f>
        <v>11183000</v>
      </c>
      <c r="F14" s="59"/>
      <c r="G14" s="60">
        <f>SUM(G3:G12)/COUNT(G3:G12)</f>
        <v>9.75</v>
      </c>
      <c r="H14" s="61">
        <f>SUM(H3:H12)/COUNT(H3:H12)</f>
        <v>71060339.09375</v>
      </c>
      <c r="I14" s="61">
        <f>SUM(I3:I12)/COUNT(I3:I12)</f>
        <v>13080000</v>
      </c>
      <c r="J14" s="48"/>
      <c r="K14" s="62">
        <f>SUM(K4:K12)/COUNT(K3:K12)</f>
        <v>0.25</v>
      </c>
      <c r="L14" s="63">
        <f>SUM(L3:L12)/COUNT(L3:L12)</f>
        <v>-1347331.5880000002</v>
      </c>
      <c r="M14" s="63">
        <f>SUM(M3:M12)/COUNT(M3:M12)</f>
        <v>719000</v>
      </c>
    </row>
    <row r="15" spans="1:15" hidden="1" x14ac:dyDescent="0.3">
      <c r="H15" s="78">
        <f>H13/G13</f>
        <v>7288239.907051282</v>
      </c>
    </row>
    <row r="16" spans="1:15" x14ac:dyDescent="0.3">
      <c r="A16" s="34" t="s">
        <v>71</v>
      </c>
      <c r="H16" s="78"/>
    </row>
    <row r="17" spans="1:14" ht="29.5" thickBot="1" x14ac:dyDescent="0.4">
      <c r="A17" s="76" t="s">
        <v>70</v>
      </c>
      <c r="B17" s="76" t="s">
        <v>69</v>
      </c>
      <c r="C17" s="76" t="s">
        <v>65</v>
      </c>
      <c r="D17" s="76" t="s">
        <v>81</v>
      </c>
      <c r="F17" s="76" t="s">
        <v>70</v>
      </c>
      <c r="G17" s="76" t="s">
        <v>69</v>
      </c>
      <c r="H17" s="76" t="s">
        <v>65</v>
      </c>
      <c r="I17" s="76" t="s">
        <v>81</v>
      </c>
      <c r="J17" s="77"/>
      <c r="K17" s="66" t="s">
        <v>78</v>
      </c>
      <c r="L17" s="67" t="s">
        <v>76</v>
      </c>
      <c r="M17" s="67" t="s">
        <v>77</v>
      </c>
    </row>
    <row r="18" spans="1:14" ht="14.5" x14ac:dyDescent="0.35">
      <c r="A18" s="10">
        <v>44898</v>
      </c>
      <c r="B18" s="68">
        <v>3</v>
      </c>
      <c r="C18" s="74">
        <f>25830114.52+16593805.04</f>
        <v>42423919.560000002</v>
      </c>
      <c r="D18" s="69">
        <f>C18/B18</f>
        <v>14141306.520000001</v>
      </c>
      <c r="F18" s="10">
        <v>45262</v>
      </c>
      <c r="G18" s="68">
        <v>2</v>
      </c>
      <c r="H18" s="113">
        <v>31712102.050000001</v>
      </c>
      <c r="I18" s="69">
        <f>H18/G18</f>
        <v>15856051.025</v>
      </c>
      <c r="J18" s="45"/>
      <c r="K18" s="68">
        <f t="shared" ref="K18:L23" si="3">G18-B18</f>
        <v>-1</v>
      </c>
      <c r="L18" s="69">
        <f>H18-C18</f>
        <v>-10711817.510000002</v>
      </c>
      <c r="M18" s="69"/>
    </row>
    <row r="19" spans="1:14" ht="14.5" x14ac:dyDescent="0.35">
      <c r="A19" s="10">
        <v>44905</v>
      </c>
      <c r="B19" s="68">
        <v>7</v>
      </c>
      <c r="C19" s="74">
        <v>75950764.769999996</v>
      </c>
      <c r="D19" s="69">
        <f>C19/B19</f>
        <v>10850109.252857143</v>
      </c>
      <c r="F19" s="10">
        <v>45269</v>
      </c>
      <c r="G19" s="68">
        <v>7</v>
      </c>
      <c r="H19" s="74">
        <v>83158850.209999993</v>
      </c>
      <c r="I19" s="69">
        <f t="shared" ref="I19:I23" si="4">H19/G19</f>
        <v>11879835.744285714</v>
      </c>
      <c r="J19" s="45"/>
      <c r="K19" s="68">
        <f t="shared" si="3"/>
        <v>0</v>
      </c>
      <c r="L19" s="69">
        <f>H19-C19</f>
        <v>7208085.4399999976</v>
      </c>
      <c r="M19" s="69"/>
    </row>
    <row r="20" spans="1:14" ht="14.5" x14ac:dyDescent="0.35">
      <c r="A20" s="10">
        <v>44912</v>
      </c>
      <c r="B20" s="68">
        <v>7</v>
      </c>
      <c r="C20" s="74">
        <v>80669292.709999993</v>
      </c>
      <c r="D20" s="69">
        <f t="shared" ref="D20:D22" si="5">C20/B20</f>
        <v>11524184.672857141</v>
      </c>
      <c r="F20" s="10">
        <v>45276</v>
      </c>
      <c r="G20" s="68">
        <v>7</v>
      </c>
      <c r="H20" s="113">
        <v>83202463.069999993</v>
      </c>
      <c r="I20" s="69">
        <f t="shared" si="4"/>
        <v>11886066.152857142</v>
      </c>
      <c r="J20" s="45"/>
      <c r="K20" s="68">
        <f t="shared" si="3"/>
        <v>0</v>
      </c>
      <c r="L20" s="69">
        <f>H20-C20</f>
        <v>2533170.3599999994</v>
      </c>
      <c r="M20" s="69"/>
    </row>
    <row r="21" spans="1:14" ht="14.5" x14ac:dyDescent="0.35">
      <c r="A21" s="10">
        <v>44919</v>
      </c>
      <c r="B21" s="68">
        <v>7</v>
      </c>
      <c r="C21" s="74">
        <f>54891132.82+10203816.37</f>
        <v>65094949.189999998</v>
      </c>
      <c r="D21" s="69">
        <f t="shared" si="5"/>
        <v>9299278.4557142854</v>
      </c>
      <c r="F21" s="10">
        <v>45283</v>
      </c>
      <c r="G21" s="68">
        <v>7</v>
      </c>
      <c r="H21" s="113">
        <v>83354061.170000002</v>
      </c>
      <c r="I21" s="69">
        <f t="shared" si="4"/>
        <v>11907723.024285715</v>
      </c>
      <c r="J21" s="45"/>
      <c r="K21" s="68">
        <f t="shared" si="3"/>
        <v>0</v>
      </c>
      <c r="L21" s="69">
        <f t="shared" si="3"/>
        <v>18259111.980000004</v>
      </c>
      <c r="M21" s="69"/>
    </row>
    <row r="22" spans="1:14" ht="14.5" x14ac:dyDescent="0.35">
      <c r="A22" s="10">
        <v>44926</v>
      </c>
      <c r="B22" s="68">
        <v>6</v>
      </c>
      <c r="C22" s="74">
        <v>83124457.200000003</v>
      </c>
      <c r="D22" s="69">
        <f t="shared" si="5"/>
        <v>13854076.200000001</v>
      </c>
      <c r="F22" s="10">
        <v>45290</v>
      </c>
      <c r="G22" s="68">
        <v>7</v>
      </c>
      <c r="H22" s="113">
        <v>91834404.439999998</v>
      </c>
      <c r="I22" s="69">
        <f t="shared" si="4"/>
        <v>13119200.634285714</v>
      </c>
      <c r="J22" s="45"/>
      <c r="K22" s="68">
        <f t="shared" si="3"/>
        <v>1</v>
      </c>
      <c r="L22" s="69">
        <f t="shared" si="3"/>
        <v>8709947.2399999946</v>
      </c>
      <c r="M22" s="69"/>
    </row>
    <row r="23" spans="1:14" ht="14.5" x14ac:dyDescent="0.35">
      <c r="A23" s="10"/>
      <c r="B23" s="68"/>
      <c r="C23" s="106"/>
      <c r="D23" s="69"/>
      <c r="F23" s="10">
        <v>45291</v>
      </c>
      <c r="G23" s="68">
        <v>1</v>
      </c>
      <c r="H23" s="113">
        <v>16188155.57</v>
      </c>
      <c r="I23" s="69">
        <f t="shared" si="4"/>
        <v>16188155.57</v>
      </c>
      <c r="J23" s="45"/>
      <c r="K23" s="68"/>
      <c r="L23" s="69">
        <f t="shared" si="3"/>
        <v>16188155.57</v>
      </c>
      <c r="M23" s="69"/>
    </row>
    <row r="24" spans="1:14" ht="14.5" hidden="1" x14ac:dyDescent="0.35">
      <c r="A24" s="73"/>
      <c r="B24" s="68"/>
      <c r="C24" s="87"/>
      <c r="D24" s="74"/>
      <c r="F24" s="73"/>
      <c r="G24" s="68"/>
      <c r="H24" s="100"/>
      <c r="I24" s="69"/>
      <c r="J24" s="45"/>
      <c r="K24" s="68"/>
      <c r="L24" s="69"/>
      <c r="M24" s="69"/>
    </row>
    <row r="25" spans="1:14" ht="13.5" thickBot="1" x14ac:dyDescent="0.35">
      <c r="A25" s="75" t="s">
        <v>66</v>
      </c>
      <c r="B25" s="75">
        <f>SUM(B18:B23)</f>
        <v>30</v>
      </c>
      <c r="C25" s="88">
        <f>SUM(C18:C23)</f>
        <v>347263383.43000001</v>
      </c>
      <c r="D25" s="88">
        <f>C25/B25</f>
        <v>11575446.114333333</v>
      </c>
      <c r="F25" s="75" t="s">
        <v>66</v>
      </c>
      <c r="G25" s="75">
        <f>SUM(G18:G24)</f>
        <v>31</v>
      </c>
      <c r="H25" s="70">
        <f>SUM(H18:H23)</f>
        <v>389450036.50999999</v>
      </c>
      <c r="I25" s="70">
        <f>H25/G25</f>
        <v>12562904.403548386</v>
      </c>
      <c r="J25" s="46"/>
      <c r="K25" s="68">
        <f>SUM(K18:K24)</f>
        <v>0</v>
      </c>
      <c r="L25" s="70">
        <f>SUM(L18:L24)</f>
        <v>42186653.079999998</v>
      </c>
      <c r="M25" s="70"/>
    </row>
    <row r="26" spans="1:14" ht="8.5" customHeight="1" thickTop="1" x14ac:dyDescent="0.3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4" ht="13.5" thickBot="1" x14ac:dyDescent="0.35">
      <c r="A27" s="71" t="s">
        <v>67</v>
      </c>
      <c r="B27" s="71"/>
      <c r="C27" s="72">
        <f>C13+C25</f>
        <v>929219412.06000018</v>
      </c>
      <c r="D27" s="72"/>
      <c r="E27" s="41"/>
      <c r="F27" s="71" t="s">
        <v>67</v>
      </c>
      <c r="G27" s="71"/>
      <c r="H27" s="72">
        <f>H13+H25</f>
        <v>957932749.25999999</v>
      </c>
      <c r="I27" s="72"/>
      <c r="J27" s="46"/>
      <c r="K27" s="71"/>
      <c r="L27" s="72">
        <f>L25+L13</f>
        <v>28713337.199999996</v>
      </c>
      <c r="M27" s="72"/>
      <c r="N27" s="35" t="s">
        <v>89</v>
      </c>
    </row>
    <row r="28" spans="1:14" ht="13.5" thickTop="1" x14ac:dyDescent="0.3"/>
    <row r="32" spans="1:14" x14ac:dyDescent="0.3">
      <c r="H32" s="122"/>
    </row>
    <row r="33" spans="3:9" x14ac:dyDescent="0.3">
      <c r="C33" s="78"/>
      <c r="H33" s="78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5"/>
      <c r="H36" s="122"/>
    </row>
    <row r="37" spans="3:9" ht="15.5" x14ac:dyDescent="0.35">
      <c r="G37" s="123"/>
      <c r="H37" s="124"/>
    </row>
    <row r="38" spans="3:9" ht="15.5" x14ac:dyDescent="0.35">
      <c r="G38" s="123"/>
      <c r="H38" s="124"/>
    </row>
    <row r="39" spans="3:9" ht="15.5" x14ac:dyDescent="0.35">
      <c r="C39" s="78"/>
      <c r="G39" s="123"/>
      <c r="H39" s="124"/>
    </row>
    <row r="40" spans="3:9" ht="15.5" x14ac:dyDescent="0.35">
      <c r="G40" s="123"/>
      <c r="H40" s="124"/>
      <c r="I40" s="78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.5" x14ac:dyDescent="0.35">
      <c r="G45" s="123"/>
      <c r="H45" s="124"/>
    </row>
    <row r="46" spans="3:9" ht="15" thickBot="1" x14ac:dyDescent="0.4">
      <c r="G46" s="4"/>
      <c r="H46" s="126"/>
    </row>
    <row r="47" spans="3:9" ht="16" thickTop="1" x14ac:dyDescent="0.35">
      <c r="G47" s="123"/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1777-0C4D-4CFF-93FB-500FE1C521BB}">
  <dimension ref="A1:O46"/>
  <sheetViews>
    <sheetView topLeftCell="A6" workbookViewId="0">
      <selection activeCell="H30" sqref="H30"/>
    </sheetView>
  </sheetViews>
  <sheetFormatPr defaultRowHeight="13" x14ac:dyDescent="0.3"/>
  <cols>
    <col min="1" max="1" width="29.08984375" style="35" customWidth="1"/>
    <col min="2" max="2" width="9.54296875" style="35" customWidth="1"/>
    <col min="3" max="3" width="14.6328125" style="35" bestFit="1" customWidth="1"/>
    <col min="4" max="4" width="14.26953125" style="35" bestFit="1" customWidth="1"/>
    <col min="5" max="5" width="2.08984375" style="35" customWidth="1"/>
    <col min="6" max="6" width="25.6328125" style="35" customWidth="1"/>
    <col min="7" max="7" width="6.6328125" style="35" bestFit="1" customWidth="1"/>
    <col min="8" max="8" width="14.26953125" style="35" customWidth="1"/>
    <col min="9" max="9" width="14.26953125" style="35" bestFit="1" customWidth="1"/>
    <col min="10" max="10" width="1.7265625" style="47" customWidth="1"/>
    <col min="11" max="11" width="6" style="35" bestFit="1" customWidth="1"/>
    <col min="12" max="12" width="15.816406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44928</v>
      </c>
      <c r="B3" s="90">
        <v>9</v>
      </c>
      <c r="C3" s="51">
        <v>62487022.289999999</v>
      </c>
      <c r="D3" s="51">
        <v>7870000</v>
      </c>
      <c r="F3" s="10">
        <v>45292</v>
      </c>
      <c r="G3" s="90">
        <v>10</v>
      </c>
      <c r="H3" s="51">
        <v>67057094.630000003</v>
      </c>
      <c r="I3" s="51">
        <v>12170000</v>
      </c>
      <c r="J3" s="45"/>
      <c r="K3" s="49">
        <f t="shared" ref="K3:L11" si="0">G3-B3</f>
        <v>1</v>
      </c>
      <c r="L3" s="38">
        <f t="shared" si="0"/>
        <v>4570072.3400000036</v>
      </c>
      <c r="M3" s="38">
        <f>D3-I3</f>
        <v>-4300000</v>
      </c>
    </row>
    <row r="4" spans="1:15" ht="14.5" x14ac:dyDescent="0.35">
      <c r="A4" s="10">
        <v>44933</v>
      </c>
      <c r="B4" s="93">
        <v>9</v>
      </c>
      <c r="C4" s="51">
        <v>59612946.689999998</v>
      </c>
      <c r="D4" s="51">
        <v>7310000</v>
      </c>
      <c r="F4" s="10">
        <v>45297</v>
      </c>
      <c r="G4" s="93">
        <v>9</v>
      </c>
      <c r="H4" s="51">
        <v>61477572.229999997</v>
      </c>
      <c r="I4" s="51">
        <v>8070000</v>
      </c>
      <c r="J4" s="45"/>
      <c r="K4" s="49">
        <f t="shared" si="0"/>
        <v>0</v>
      </c>
      <c r="L4" s="38">
        <f t="shared" si="0"/>
        <v>1864625.5399999991</v>
      </c>
      <c r="M4" s="38">
        <f t="shared" ref="M4:M11" si="1">D4-I4</f>
        <v>-760000</v>
      </c>
      <c r="O4" s="35" t="s">
        <v>88</v>
      </c>
    </row>
    <row r="5" spans="1:15" ht="14.5" x14ac:dyDescent="0.35">
      <c r="A5" s="10">
        <v>44940</v>
      </c>
      <c r="B5" s="93">
        <v>9</v>
      </c>
      <c r="C5" s="51">
        <v>54705192.799999997</v>
      </c>
      <c r="D5" s="51">
        <v>7690000</v>
      </c>
      <c r="F5" s="10">
        <v>45304</v>
      </c>
      <c r="G5" s="93">
        <v>10</v>
      </c>
      <c r="H5" s="51">
        <v>72828790</v>
      </c>
      <c r="I5" s="51">
        <v>8760000</v>
      </c>
      <c r="J5" s="45"/>
      <c r="K5" s="49">
        <f t="shared" si="0"/>
        <v>1</v>
      </c>
      <c r="L5" s="38">
        <f t="shared" si="0"/>
        <v>18123597.200000003</v>
      </c>
      <c r="M5" s="38">
        <f t="shared" si="1"/>
        <v>-1070000</v>
      </c>
    </row>
    <row r="6" spans="1:15" ht="14.5" x14ac:dyDescent="0.35">
      <c r="A6" s="10">
        <v>44941</v>
      </c>
      <c r="B6" s="93">
        <v>9</v>
      </c>
      <c r="C6" s="51">
        <v>43411970.859999999</v>
      </c>
      <c r="D6" s="51">
        <v>7020000</v>
      </c>
      <c r="F6" s="10">
        <v>45311</v>
      </c>
      <c r="G6" s="93">
        <v>9</v>
      </c>
      <c r="H6" s="51">
        <v>58492406.469999999</v>
      </c>
      <c r="I6" s="51">
        <v>7490000</v>
      </c>
      <c r="J6" s="45"/>
      <c r="K6" s="49">
        <f t="shared" si="0"/>
        <v>0</v>
      </c>
      <c r="L6" s="38">
        <f t="shared" si="0"/>
        <v>15080435.609999999</v>
      </c>
      <c r="M6" s="38">
        <f t="shared" si="1"/>
        <v>-470000</v>
      </c>
    </row>
    <row r="7" spans="1:15" ht="14.5" x14ac:dyDescent="0.35">
      <c r="A7" s="10">
        <v>44947</v>
      </c>
      <c r="B7" s="93">
        <v>9</v>
      </c>
      <c r="C7" s="51">
        <v>63436337</v>
      </c>
      <c r="D7" s="51">
        <v>7200000</v>
      </c>
      <c r="F7" s="10">
        <v>45312</v>
      </c>
      <c r="G7" s="93">
        <v>9</v>
      </c>
      <c r="H7" s="51">
        <v>53475843</v>
      </c>
      <c r="I7" s="51">
        <v>7700000</v>
      </c>
      <c r="J7" s="45"/>
      <c r="K7" s="49">
        <f t="shared" si="0"/>
        <v>0</v>
      </c>
      <c r="L7" s="38">
        <f t="shared" si="0"/>
        <v>-9960494</v>
      </c>
      <c r="M7" s="38">
        <f t="shared" si="1"/>
        <v>-500000</v>
      </c>
    </row>
    <row r="8" spans="1:15" ht="14.5" x14ac:dyDescent="0.35">
      <c r="A8" s="10">
        <v>44954</v>
      </c>
      <c r="B8" s="93">
        <v>10</v>
      </c>
      <c r="C8" s="51">
        <v>65477371</v>
      </c>
      <c r="D8" s="51">
        <v>8590000</v>
      </c>
      <c r="F8" s="10">
        <v>45318</v>
      </c>
      <c r="G8" s="93">
        <v>9</v>
      </c>
      <c r="H8" s="51">
        <v>57280819</v>
      </c>
      <c r="I8" s="51">
        <v>8340000</v>
      </c>
      <c r="J8" s="45"/>
      <c r="K8" s="49">
        <f t="shared" si="0"/>
        <v>-1</v>
      </c>
      <c r="L8" s="38">
        <f t="shared" si="0"/>
        <v>-8196552</v>
      </c>
      <c r="M8" s="38">
        <f t="shared" si="1"/>
        <v>250000</v>
      </c>
    </row>
    <row r="9" spans="1:15" ht="14.5" x14ac:dyDescent="0.35">
      <c r="A9" s="10">
        <v>44955</v>
      </c>
      <c r="B9" s="107">
        <v>10</v>
      </c>
      <c r="C9" s="51">
        <v>70196502</v>
      </c>
      <c r="D9" s="108">
        <v>8360000</v>
      </c>
      <c r="F9" s="10">
        <v>45319</v>
      </c>
      <c r="G9" s="107">
        <v>10</v>
      </c>
      <c r="H9" s="51">
        <v>61413550</v>
      </c>
      <c r="I9" s="108">
        <v>8680000</v>
      </c>
      <c r="J9" s="45"/>
      <c r="K9" s="49">
        <f t="shared" si="0"/>
        <v>0</v>
      </c>
      <c r="L9" s="38">
        <f t="shared" si="0"/>
        <v>-8782952</v>
      </c>
      <c r="M9" s="38">
        <f t="shared" si="1"/>
        <v>-320000</v>
      </c>
    </row>
    <row r="10" spans="1:15" ht="14.5" x14ac:dyDescent="0.35">
      <c r="A10" s="10"/>
      <c r="B10" s="49"/>
      <c r="C10" s="51"/>
      <c r="D10" s="43"/>
      <c r="F10" s="10"/>
      <c r="G10" s="49"/>
      <c r="H10" s="51"/>
      <c r="I10" s="108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t="14.5" hidden="1" x14ac:dyDescent="0.35">
      <c r="A11" s="10"/>
      <c r="B11" s="49"/>
      <c r="C11" s="51"/>
      <c r="D11" s="43"/>
      <c r="F11" s="10"/>
      <c r="G11" s="49"/>
      <c r="H11" s="51"/>
      <c r="I11" s="38"/>
      <c r="J11" s="45"/>
      <c r="K11" s="129"/>
      <c r="L11" s="38">
        <f t="shared" si="0"/>
        <v>0</v>
      </c>
      <c r="M11" s="38">
        <f t="shared" si="1"/>
        <v>0</v>
      </c>
    </row>
    <row r="12" spans="1:15" ht="15" thickBot="1" x14ac:dyDescent="0.4">
      <c r="A12" s="52" t="s">
        <v>66</v>
      </c>
      <c r="B12" s="52">
        <f>SUM(B3:B11)</f>
        <v>65</v>
      </c>
      <c r="C12" s="39">
        <f>SUM(C3:C11)</f>
        <v>419327342.63999999</v>
      </c>
      <c r="D12" s="39">
        <f>SUM(D3:D11)</f>
        <v>54040000</v>
      </c>
      <c r="E12" s="54">
        <f>SUM(D3:D10)</f>
        <v>54040000</v>
      </c>
      <c r="F12" s="52" t="s">
        <v>66</v>
      </c>
      <c r="G12" s="52">
        <f>SUM(G3:G11)</f>
        <v>66</v>
      </c>
      <c r="H12" s="39">
        <f>SUM(H3:H11)</f>
        <v>432026075.33000004</v>
      </c>
      <c r="I12" s="39">
        <f>SUM(I3:I11)</f>
        <v>61210000</v>
      </c>
      <c r="J12" s="39">
        <f>SUM(I3:I11)</f>
        <v>61210000</v>
      </c>
      <c r="K12" s="133">
        <f>COUNT(K3:K11)</f>
        <v>8</v>
      </c>
      <c r="L12" s="132">
        <f>SUM(L3:L11)</f>
        <v>12698732.690000005</v>
      </c>
      <c r="M12" s="39">
        <f>SUM(M3:M11)</f>
        <v>-7170000</v>
      </c>
      <c r="N12" s="39"/>
    </row>
    <row r="13" spans="1:15" ht="13.5" thickTop="1" x14ac:dyDescent="0.3">
      <c r="A13" s="65" t="s">
        <v>72</v>
      </c>
      <c r="B13" s="62">
        <f>SUM(B3:B11)/COUNT(B3:B11)</f>
        <v>9.2857142857142865</v>
      </c>
      <c r="C13" s="63">
        <f>SUM(C3:C11)/COUNT(C3:C11)</f>
        <v>59903906.09142857</v>
      </c>
      <c r="D13" s="63">
        <f>SUM(D3:D11)/COUNT(D3:D11)</f>
        <v>7720000</v>
      </c>
      <c r="F13" s="59"/>
      <c r="G13" s="60">
        <f>SUM(G3:G11)/COUNT(G3:G11)</f>
        <v>9.4285714285714288</v>
      </c>
      <c r="H13" s="61">
        <f>SUM(H3:H11)/COUNT(H3:H11)</f>
        <v>61718010.76142858</v>
      </c>
      <c r="I13" s="61">
        <f>SUM(I3:I11)/COUNT(I3:I11)</f>
        <v>8744285.7142857146</v>
      </c>
      <c r="J13" s="48"/>
      <c r="K13" s="62">
        <f>SUM(K4:K11)/COUNT(K3:K11)</f>
        <v>0</v>
      </c>
      <c r="L13" s="63">
        <f>SUM(L3:L11)/COUNT(L3:L11)</f>
        <v>1410970.2988888894</v>
      </c>
      <c r="M13" s="63">
        <f>SUM(M3:M11)/COUNT(M3:M11)</f>
        <v>-796666.66666666663</v>
      </c>
    </row>
    <row r="14" spans="1:15" hidden="1" x14ac:dyDescent="0.3">
      <c r="H14" s="78">
        <f>H12/G12</f>
        <v>6545849.6262121219</v>
      </c>
    </row>
    <row r="15" spans="1:15" x14ac:dyDescent="0.3">
      <c r="A15" s="34" t="s">
        <v>71</v>
      </c>
      <c r="H15" s="78"/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4.5" x14ac:dyDescent="0.35">
      <c r="A17" s="10">
        <v>44933</v>
      </c>
      <c r="B17" s="68">
        <v>7</v>
      </c>
      <c r="C17" s="74">
        <v>93136121.599999994</v>
      </c>
      <c r="D17" s="69">
        <f>C17/B17</f>
        <v>13305160.228571428</v>
      </c>
      <c r="F17" s="10">
        <v>45297</v>
      </c>
      <c r="G17" s="68">
        <v>6</v>
      </c>
      <c r="H17" s="113">
        <v>88504852.079999998</v>
      </c>
      <c r="I17" s="69">
        <f>H17/G17</f>
        <v>14750808.68</v>
      </c>
      <c r="J17" s="45"/>
      <c r="K17" s="68">
        <f t="shared" ref="K17:L22" si="2">G17-B17</f>
        <v>-1</v>
      </c>
      <c r="L17" s="69">
        <f>H17-C17</f>
        <v>-4631269.5199999958</v>
      </c>
      <c r="M17" s="69"/>
    </row>
    <row r="18" spans="1:14" ht="14.5" x14ac:dyDescent="0.35">
      <c r="A18" s="10">
        <v>44940</v>
      </c>
      <c r="B18" s="68">
        <v>7</v>
      </c>
      <c r="C18" s="74">
        <v>78910784.5</v>
      </c>
      <c r="D18" s="69">
        <f>C18/B18</f>
        <v>11272969.214285715</v>
      </c>
      <c r="F18" s="10">
        <v>45304</v>
      </c>
      <c r="G18" s="68">
        <v>7</v>
      </c>
      <c r="H18" s="74">
        <v>94294322.569999993</v>
      </c>
      <c r="I18" s="69">
        <f t="shared" ref="I18:I21" si="3">H18/G18</f>
        <v>13470617.51</v>
      </c>
      <c r="J18" s="45"/>
      <c r="K18" s="68">
        <f t="shared" si="2"/>
        <v>0</v>
      </c>
      <c r="L18" s="69">
        <f>H18-C18</f>
        <v>15383538.069999993</v>
      </c>
      <c r="M18" s="69"/>
    </row>
    <row r="19" spans="1:14" ht="14.5" x14ac:dyDescent="0.35">
      <c r="A19" s="10">
        <v>44947</v>
      </c>
      <c r="B19" s="68">
        <v>7</v>
      </c>
      <c r="C19" s="74">
        <v>83765414.420000002</v>
      </c>
      <c r="D19" s="69">
        <f t="shared" ref="D19:D21" si="4">C19/B19</f>
        <v>11966487.774285715</v>
      </c>
      <c r="F19" s="10">
        <v>45311</v>
      </c>
      <c r="G19" s="68">
        <v>7</v>
      </c>
      <c r="H19" s="113">
        <f>132348842.89-H6</f>
        <v>73856436.420000002</v>
      </c>
      <c r="I19" s="69">
        <f t="shared" si="3"/>
        <v>10550919.48857143</v>
      </c>
      <c r="J19" s="45"/>
      <c r="K19" s="68">
        <f t="shared" si="2"/>
        <v>0</v>
      </c>
      <c r="L19" s="69">
        <f>H19-C19</f>
        <v>-9908978</v>
      </c>
      <c r="M19" s="69"/>
    </row>
    <row r="20" spans="1:14" ht="14.5" x14ac:dyDescent="0.35">
      <c r="A20" s="10">
        <v>44954</v>
      </c>
      <c r="B20" s="68">
        <v>7</v>
      </c>
      <c r="C20" s="74">
        <v>86522639.260000005</v>
      </c>
      <c r="D20" s="69">
        <f t="shared" si="4"/>
        <v>12360377.037142858</v>
      </c>
      <c r="F20" s="10">
        <v>45318</v>
      </c>
      <c r="G20" s="68">
        <v>7</v>
      </c>
      <c r="H20" s="51">
        <f>68272468.06+27392648.8</f>
        <v>95665116.859999999</v>
      </c>
      <c r="I20" s="69">
        <f t="shared" si="3"/>
        <v>13666445.265714286</v>
      </c>
      <c r="J20" s="45"/>
      <c r="K20" s="68">
        <f t="shared" si="2"/>
        <v>0</v>
      </c>
      <c r="L20" s="69">
        <f t="shared" si="2"/>
        <v>9142477.599999994</v>
      </c>
      <c r="M20" s="69"/>
    </row>
    <row r="21" spans="1:14" ht="14.5" x14ac:dyDescent="0.35">
      <c r="A21" s="10">
        <v>44957</v>
      </c>
      <c r="B21" s="68">
        <v>3</v>
      </c>
      <c r="C21" s="113">
        <v>25923748.719999999</v>
      </c>
      <c r="D21" s="69">
        <f t="shared" si="4"/>
        <v>8641249.5733333323</v>
      </c>
      <c r="F21" s="10">
        <v>45322</v>
      </c>
      <c r="G21" s="68">
        <v>4</v>
      </c>
      <c r="H21" s="113">
        <v>47680272.509999998</v>
      </c>
      <c r="I21" s="69">
        <f t="shared" si="3"/>
        <v>11920068.127499999</v>
      </c>
      <c r="J21" s="45"/>
      <c r="K21" s="68">
        <f t="shared" si="2"/>
        <v>1</v>
      </c>
      <c r="L21" s="69">
        <f t="shared" si="2"/>
        <v>21756523.789999999</v>
      </c>
      <c r="M21" s="69"/>
    </row>
    <row r="22" spans="1:14" ht="14.5" x14ac:dyDescent="0.35">
      <c r="A22" s="10"/>
      <c r="B22" s="68"/>
      <c r="C22" s="106"/>
      <c r="D22" s="69"/>
      <c r="F22" s="10"/>
      <c r="G22" s="68"/>
      <c r="H22" s="113"/>
      <c r="I22" s="69"/>
      <c r="J22" s="45"/>
      <c r="K22" s="68"/>
      <c r="L22" s="69">
        <f t="shared" si="2"/>
        <v>0</v>
      </c>
      <c r="M22" s="69"/>
    </row>
    <row r="23" spans="1:14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35">
      <c r="A24" s="75" t="s">
        <v>66</v>
      </c>
      <c r="B24" s="75">
        <f>SUM(B17:B22)</f>
        <v>31</v>
      </c>
      <c r="C24" s="88">
        <f>SUM(C17:C22)</f>
        <v>368258708.5</v>
      </c>
      <c r="D24" s="88">
        <f>C24/B24</f>
        <v>11879313.177419355</v>
      </c>
      <c r="F24" s="75" t="s">
        <v>66</v>
      </c>
      <c r="G24" s="75">
        <f>SUM(G17:G23)</f>
        <v>31</v>
      </c>
      <c r="H24" s="70">
        <f>SUM(H17:H22)</f>
        <v>400001000.44</v>
      </c>
      <c r="I24" s="70">
        <f>H24/G24</f>
        <v>12903258.078709677</v>
      </c>
      <c r="J24" s="46"/>
      <c r="K24" s="68">
        <f>SUM(K17:K23)</f>
        <v>0</v>
      </c>
      <c r="L24" s="70">
        <f>SUM(L17:L23)</f>
        <v>31742291.93999999</v>
      </c>
      <c r="M24" s="70"/>
    </row>
    <row r="25" spans="1:14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35">
      <c r="A26" s="71" t="s">
        <v>67</v>
      </c>
      <c r="B26" s="71"/>
      <c r="C26" s="72">
        <f>C12+C24</f>
        <v>787586051.13999999</v>
      </c>
      <c r="D26" s="72"/>
      <c r="E26" s="41"/>
      <c r="F26" s="71" t="s">
        <v>67</v>
      </c>
      <c r="G26" s="71"/>
      <c r="H26" s="72">
        <f>H12+H24</f>
        <v>832027075.76999998</v>
      </c>
      <c r="I26" s="72"/>
      <c r="J26" s="46"/>
      <c r="K26" s="71"/>
      <c r="L26" s="72">
        <f>L24+L12</f>
        <v>44441024.629999995</v>
      </c>
      <c r="M26" s="72"/>
      <c r="N26" s="35" t="s">
        <v>89</v>
      </c>
    </row>
    <row r="27" spans="1:14" ht="13.5" thickTop="1" x14ac:dyDescent="0.3"/>
    <row r="31" spans="1:14" x14ac:dyDescent="0.3">
      <c r="H31" s="122"/>
    </row>
    <row r="32" spans="1:14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78"/>
    </row>
    <row r="40" spans="3:9" ht="15.5" x14ac:dyDescent="0.35">
      <c r="G40" s="123"/>
      <c r="H40" s="124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C29-8881-4068-853E-8A4FAA2BC340}">
  <dimension ref="A1:O46"/>
  <sheetViews>
    <sheetView topLeftCell="A4" workbookViewId="0">
      <selection activeCell="H20" sqref="H20"/>
    </sheetView>
  </sheetViews>
  <sheetFormatPr defaultRowHeight="13" x14ac:dyDescent="0.3"/>
  <cols>
    <col min="1" max="1" width="29.08984375" style="35" customWidth="1"/>
    <col min="2" max="2" width="9.54296875" style="35" customWidth="1"/>
    <col min="3" max="3" width="14.6328125" style="35" bestFit="1" customWidth="1"/>
    <col min="4" max="4" width="14.26953125" style="35" bestFit="1" customWidth="1"/>
    <col min="5" max="5" width="2.08984375" style="35" customWidth="1"/>
    <col min="6" max="6" width="26.7265625" style="35" bestFit="1" customWidth="1"/>
    <col min="7" max="7" width="6.6328125" style="35" bestFit="1" customWidth="1"/>
    <col min="8" max="8" width="14.26953125" style="35" customWidth="1"/>
    <col min="9" max="9" width="14.26953125" style="35" bestFit="1" customWidth="1"/>
    <col min="10" max="10" width="1.7265625" style="47" customWidth="1"/>
    <col min="11" max="11" width="6" style="35" bestFit="1" customWidth="1"/>
    <col min="12" max="12" width="15.816406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" thickTop="1" x14ac:dyDescent="0.35">
      <c r="A3" s="10">
        <v>44961</v>
      </c>
      <c r="B3" s="90">
        <v>10</v>
      </c>
      <c r="C3" s="51">
        <v>64528429</v>
      </c>
      <c r="D3" s="51">
        <v>8750000</v>
      </c>
      <c r="F3" s="10">
        <v>45325</v>
      </c>
      <c r="G3" s="90">
        <v>9</v>
      </c>
      <c r="H3" s="51">
        <v>67971687</v>
      </c>
      <c r="I3" s="51">
        <v>7780000</v>
      </c>
      <c r="J3" s="45"/>
      <c r="K3" s="49">
        <f t="shared" ref="K3:L11" si="0">G3-B3</f>
        <v>-1</v>
      </c>
      <c r="L3" s="38">
        <f t="shared" si="0"/>
        <v>3443258</v>
      </c>
      <c r="M3" s="38">
        <f>D3-I3</f>
        <v>970000</v>
      </c>
    </row>
    <row r="4" spans="1:15" ht="14.5" x14ac:dyDescent="0.35">
      <c r="A4" s="10">
        <v>44962</v>
      </c>
      <c r="B4" s="93">
        <v>9</v>
      </c>
      <c r="C4" s="51">
        <v>55132420</v>
      </c>
      <c r="D4" s="51">
        <v>7210000</v>
      </c>
      <c r="F4" s="10">
        <v>45332</v>
      </c>
      <c r="G4" s="93">
        <v>9</v>
      </c>
      <c r="H4" s="51">
        <v>60411665</v>
      </c>
      <c r="I4" s="51">
        <v>7950000</v>
      </c>
      <c r="J4" s="45"/>
      <c r="K4" s="49">
        <f t="shared" si="0"/>
        <v>0</v>
      </c>
      <c r="L4" s="38">
        <f t="shared" si="0"/>
        <v>5279245</v>
      </c>
      <c r="M4" s="38">
        <f t="shared" ref="M4:M11" si="1">D4-I4</f>
        <v>-740000</v>
      </c>
      <c r="O4" s="35" t="s">
        <v>88</v>
      </c>
    </row>
    <row r="5" spans="1:15" ht="14.5" x14ac:dyDescent="0.35">
      <c r="A5" s="10">
        <v>44968</v>
      </c>
      <c r="B5" s="93">
        <v>10</v>
      </c>
      <c r="C5" s="51">
        <v>69600953</v>
      </c>
      <c r="D5" s="51">
        <v>7960000</v>
      </c>
      <c r="F5" s="10">
        <v>45336</v>
      </c>
      <c r="G5" s="93">
        <v>10</v>
      </c>
      <c r="H5" s="51">
        <v>84132032</v>
      </c>
      <c r="I5" s="51">
        <v>8370000</v>
      </c>
      <c r="J5" s="45"/>
      <c r="K5" s="49">
        <f t="shared" si="0"/>
        <v>0</v>
      </c>
      <c r="L5" s="38">
        <f t="shared" si="0"/>
        <v>14531079</v>
      </c>
      <c r="M5" s="38">
        <f t="shared" si="1"/>
        <v>-410000</v>
      </c>
    </row>
    <row r="6" spans="1:15" ht="14.5" x14ac:dyDescent="0.35">
      <c r="A6" s="10">
        <v>44975</v>
      </c>
      <c r="B6" s="93">
        <v>9</v>
      </c>
      <c r="C6" s="51">
        <v>70987307</v>
      </c>
      <c r="D6" s="51">
        <v>7940000</v>
      </c>
      <c r="F6" s="10">
        <v>45339</v>
      </c>
      <c r="G6" s="93">
        <v>9</v>
      </c>
      <c r="H6" s="108">
        <v>65621213</v>
      </c>
      <c r="I6" s="51">
        <f>7980000</f>
        <v>7980000</v>
      </c>
      <c r="J6" s="45"/>
      <c r="K6" s="49">
        <f t="shared" si="0"/>
        <v>0</v>
      </c>
      <c r="L6" s="38">
        <f t="shared" si="0"/>
        <v>-5366094</v>
      </c>
      <c r="M6" s="38">
        <f t="shared" si="1"/>
        <v>-40000</v>
      </c>
    </row>
    <row r="7" spans="1:15" ht="14.5" x14ac:dyDescent="0.35">
      <c r="A7" s="10">
        <v>44979</v>
      </c>
      <c r="B7" s="93">
        <v>9</v>
      </c>
      <c r="C7" s="51">
        <v>61084760</v>
      </c>
      <c r="D7" s="51">
        <v>7380000</v>
      </c>
      <c r="F7" s="10">
        <v>45346</v>
      </c>
      <c r="G7" s="93">
        <v>10</v>
      </c>
      <c r="H7" s="108">
        <v>71580381</v>
      </c>
      <c r="I7" s="51">
        <v>10340000</v>
      </c>
      <c r="J7" s="45"/>
      <c r="K7" s="49">
        <f t="shared" si="0"/>
        <v>1</v>
      </c>
      <c r="L7" s="38">
        <f t="shared" si="0"/>
        <v>10495621</v>
      </c>
      <c r="M7" s="38">
        <f t="shared" si="1"/>
        <v>-2960000</v>
      </c>
    </row>
    <row r="8" spans="1:15" ht="14.5" x14ac:dyDescent="0.35">
      <c r="A8" s="10">
        <v>44982</v>
      </c>
      <c r="B8" s="93">
        <v>10</v>
      </c>
      <c r="C8" s="51">
        <v>65379199</v>
      </c>
      <c r="D8" s="51">
        <v>8770000</v>
      </c>
      <c r="F8" s="10">
        <v>45347</v>
      </c>
      <c r="G8" s="93">
        <v>11</v>
      </c>
      <c r="H8" s="108">
        <v>67701631</v>
      </c>
      <c r="I8" s="51">
        <v>9910000</v>
      </c>
      <c r="J8" s="45"/>
      <c r="K8" s="49">
        <f t="shared" si="0"/>
        <v>1</v>
      </c>
      <c r="L8" s="38">
        <f t="shared" si="0"/>
        <v>2322432</v>
      </c>
      <c r="M8" s="38">
        <f t="shared" si="1"/>
        <v>-1140000</v>
      </c>
    </row>
    <row r="9" spans="1:15" ht="14.5" x14ac:dyDescent="0.35">
      <c r="A9" s="10">
        <v>44983</v>
      </c>
      <c r="B9" s="107">
        <v>11</v>
      </c>
      <c r="C9" s="51">
        <v>69146621</v>
      </c>
      <c r="D9" s="108">
        <v>9100000</v>
      </c>
      <c r="F9" s="10"/>
      <c r="G9" s="107"/>
      <c r="H9" s="51"/>
      <c r="I9" s="108"/>
      <c r="J9" s="45"/>
      <c r="K9" s="49">
        <f t="shared" si="0"/>
        <v>-11</v>
      </c>
      <c r="L9" s="38">
        <f t="shared" si="0"/>
        <v>-69146621</v>
      </c>
      <c r="M9" s="38">
        <f t="shared" si="1"/>
        <v>9100000</v>
      </c>
    </row>
    <row r="10" spans="1:15" ht="14.5" hidden="1" x14ac:dyDescent="0.35">
      <c r="A10" s="10"/>
      <c r="B10" s="49"/>
      <c r="C10" s="51"/>
      <c r="D10" s="43"/>
      <c r="F10" s="10"/>
      <c r="G10" s="49"/>
      <c r="H10" s="51"/>
      <c r="I10" s="108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t="14.5" hidden="1" x14ac:dyDescent="0.35">
      <c r="A11" s="10"/>
      <c r="B11" s="49"/>
      <c r="C11" s="51"/>
      <c r="D11" s="43"/>
      <c r="F11" s="10"/>
      <c r="G11" s="49"/>
      <c r="H11" s="51"/>
      <c r="I11" s="38"/>
      <c r="J11" s="45"/>
      <c r="K11" s="129"/>
      <c r="L11" s="38">
        <f t="shared" si="0"/>
        <v>0</v>
      </c>
      <c r="M11" s="38">
        <f t="shared" si="1"/>
        <v>0</v>
      </c>
    </row>
    <row r="12" spans="1:15" ht="15" thickBot="1" x14ac:dyDescent="0.4">
      <c r="A12" s="52" t="s">
        <v>66</v>
      </c>
      <c r="B12" s="52">
        <f>SUM(B3:B11)</f>
        <v>68</v>
      </c>
      <c r="C12" s="39">
        <f>SUM(C3:C11)</f>
        <v>455859689</v>
      </c>
      <c r="D12" s="39">
        <f>SUM(D3:D11)</f>
        <v>57110000</v>
      </c>
      <c r="E12" s="54">
        <f>SUM(D3:D10)</f>
        <v>57110000</v>
      </c>
      <c r="F12" s="52" t="s">
        <v>66</v>
      </c>
      <c r="G12" s="52">
        <f>SUM(G3:G11)</f>
        <v>58</v>
      </c>
      <c r="H12" s="39">
        <f>SUM(H3:H11)</f>
        <v>417418609</v>
      </c>
      <c r="I12" s="39">
        <f>SUM(I3:I11)</f>
        <v>52330000</v>
      </c>
      <c r="J12" s="39">
        <f>SUM(I3:I11)</f>
        <v>52330000</v>
      </c>
      <c r="K12" s="133">
        <f>COUNT(K3:K11)</f>
        <v>8</v>
      </c>
      <c r="L12" s="132">
        <f>SUM(L3:L11)</f>
        <v>-38441080</v>
      </c>
      <c r="M12" s="39">
        <f>SUM(M3:M11)</f>
        <v>4780000</v>
      </c>
      <c r="N12" s="39"/>
    </row>
    <row r="13" spans="1:15" ht="13.5" thickTop="1" x14ac:dyDescent="0.3">
      <c r="A13" s="65" t="s">
        <v>72</v>
      </c>
      <c r="B13" s="62">
        <f>SUM(B3:B11)/COUNT(B3:B11)</f>
        <v>9.7142857142857135</v>
      </c>
      <c r="C13" s="63">
        <f>SUM(C3:C11)/COUNT(C3:C11)</f>
        <v>65122812.714285716</v>
      </c>
      <c r="D13" s="63">
        <f>SUM(D3:D11)/COUNT(D3:D11)</f>
        <v>8158571.4285714282</v>
      </c>
      <c r="F13" s="59"/>
      <c r="G13" s="60">
        <f>SUM(G3:G11)/COUNT(G3:G11)</f>
        <v>9.6666666666666661</v>
      </c>
      <c r="H13" s="61">
        <f>SUM(H3:H11)/COUNT(H3:H11)</f>
        <v>69569768.166666672</v>
      </c>
      <c r="I13" s="61">
        <f>SUM(I3:I11)/COUNT(I3:I11)</f>
        <v>8721666.666666666</v>
      </c>
      <c r="J13" s="48"/>
      <c r="K13" s="62">
        <f>SUM(K4:K11)/COUNT(K3:K11)</f>
        <v>-1.125</v>
      </c>
      <c r="L13" s="63">
        <f>SUM(L3:L11)/COUNT(L3:L11)</f>
        <v>-4271231.111111111</v>
      </c>
      <c r="M13" s="63">
        <f>SUM(M3:M11)/COUNT(M3:M11)</f>
        <v>531111.11111111112</v>
      </c>
    </row>
    <row r="14" spans="1:15" hidden="1" x14ac:dyDescent="0.3">
      <c r="H14" s="78">
        <f>H12/G12</f>
        <v>7196872.568965517</v>
      </c>
    </row>
    <row r="15" spans="1:15" x14ac:dyDescent="0.3">
      <c r="A15" s="34" t="s">
        <v>71</v>
      </c>
      <c r="H15" s="78"/>
    </row>
    <row r="16" spans="1:15" ht="29.5" thickBot="1" x14ac:dyDescent="0.4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4.5" x14ac:dyDescent="0.35">
      <c r="A17" s="10">
        <v>44961</v>
      </c>
      <c r="B17" s="68">
        <v>4</v>
      </c>
      <c r="C17" s="113">
        <f>38647423.84+19416346.66</f>
        <v>58063770.5</v>
      </c>
      <c r="D17" s="69">
        <f>C17/B17</f>
        <v>14515942.625</v>
      </c>
      <c r="F17" s="10">
        <v>45325</v>
      </c>
      <c r="G17" s="68">
        <v>3</v>
      </c>
      <c r="H17" s="113">
        <v>57047737.030000001</v>
      </c>
      <c r="I17" s="69">
        <f>H17/G17</f>
        <v>19015912.343333334</v>
      </c>
      <c r="J17" s="45"/>
      <c r="K17" s="68">
        <f t="shared" ref="K17:L22" si="2">G17-B17</f>
        <v>-1</v>
      </c>
      <c r="L17" s="69">
        <f>H17-C17</f>
        <v>-1016033.4699999988</v>
      </c>
      <c r="M17" s="69"/>
    </row>
    <row r="18" spans="1:14" ht="14.5" x14ac:dyDescent="0.35">
      <c r="A18" s="10">
        <v>44968</v>
      </c>
      <c r="B18" s="68">
        <v>7</v>
      </c>
      <c r="C18" s="74">
        <v>92398625.950000003</v>
      </c>
      <c r="D18" s="69">
        <f>C18/B18</f>
        <v>13199803.707142858</v>
      </c>
      <c r="F18" s="10">
        <v>45332</v>
      </c>
      <c r="G18" s="68">
        <v>7</v>
      </c>
      <c r="H18" s="113">
        <f>81190082.39+23517250.59</f>
        <v>104707332.98</v>
      </c>
      <c r="I18" s="69">
        <f>H18/G18</f>
        <v>14958190.425714286</v>
      </c>
      <c r="J18" s="45"/>
      <c r="K18" s="68">
        <f t="shared" si="2"/>
        <v>0</v>
      </c>
      <c r="L18" s="69">
        <f>H18-C18</f>
        <v>12308707.030000001</v>
      </c>
      <c r="M18" s="69"/>
    </row>
    <row r="19" spans="1:14" ht="14.5" x14ac:dyDescent="0.35">
      <c r="A19" s="10">
        <v>44975</v>
      </c>
      <c r="B19" s="68">
        <v>7</v>
      </c>
      <c r="C19" s="74">
        <v>86361041.670000002</v>
      </c>
      <c r="D19" s="69">
        <f t="shared" ref="D19:D21" si="3">C19/B19</f>
        <v>12337291.667142857</v>
      </c>
      <c r="F19" s="10">
        <v>45339</v>
      </c>
      <c r="G19" s="68">
        <v>7</v>
      </c>
      <c r="H19" s="113">
        <v>96293392.739999995</v>
      </c>
      <c r="I19" s="69">
        <f t="shared" ref="I19:I21" si="4">H19/G19</f>
        <v>13756198.962857142</v>
      </c>
      <c r="J19" s="45"/>
      <c r="K19" s="68">
        <f t="shared" si="2"/>
        <v>0</v>
      </c>
      <c r="L19" s="69">
        <f>H19-C19</f>
        <v>9932351.0699999928</v>
      </c>
      <c r="M19" s="69"/>
    </row>
    <row r="20" spans="1:14" ht="14.5" x14ac:dyDescent="0.35">
      <c r="A20" s="10">
        <v>44982</v>
      </c>
      <c r="B20" s="68">
        <v>7</v>
      </c>
      <c r="C20" s="74">
        <v>94599408.209999993</v>
      </c>
      <c r="D20" s="69">
        <f t="shared" si="3"/>
        <v>13514201.172857141</v>
      </c>
      <c r="F20" s="10">
        <v>45346</v>
      </c>
      <c r="G20" s="68">
        <v>7</v>
      </c>
      <c r="H20" s="113">
        <f>75915517.41+24388706.97</f>
        <v>100304224.38</v>
      </c>
      <c r="I20" s="69">
        <f t="shared" si="4"/>
        <v>14329174.911428571</v>
      </c>
      <c r="J20" s="45"/>
      <c r="K20" s="68">
        <f t="shared" si="2"/>
        <v>0</v>
      </c>
      <c r="L20" s="69">
        <f t="shared" si="2"/>
        <v>5704816.1700000018</v>
      </c>
      <c r="M20" s="69"/>
    </row>
    <row r="21" spans="1:14" ht="14.5" x14ac:dyDescent="0.35">
      <c r="A21" s="10">
        <v>44985</v>
      </c>
      <c r="B21" s="68">
        <v>3</v>
      </c>
      <c r="C21" s="106">
        <v>28134731.25</v>
      </c>
      <c r="D21" s="69">
        <f t="shared" si="3"/>
        <v>9378243.75</v>
      </c>
      <c r="F21" s="10">
        <v>45351</v>
      </c>
      <c r="G21" s="68">
        <v>5</v>
      </c>
      <c r="H21" s="113">
        <v>64915975.689999998</v>
      </c>
      <c r="I21" s="69">
        <f t="shared" si="4"/>
        <v>12983195.138</v>
      </c>
      <c r="J21" s="45"/>
      <c r="K21" s="68">
        <f t="shared" si="2"/>
        <v>2</v>
      </c>
      <c r="L21" s="69">
        <f t="shared" si="2"/>
        <v>36781244.439999998</v>
      </c>
      <c r="M21" s="69"/>
    </row>
    <row r="22" spans="1:14" ht="14.5" hidden="1" x14ac:dyDescent="0.35">
      <c r="A22" s="10"/>
      <c r="B22" s="68"/>
      <c r="C22" s="106"/>
      <c r="D22" s="69"/>
      <c r="F22" s="10"/>
      <c r="G22" s="68"/>
      <c r="H22" s="113"/>
      <c r="I22" s="69"/>
      <c r="J22" s="45"/>
      <c r="K22" s="68"/>
      <c r="L22" s="69">
        <f t="shared" si="2"/>
        <v>0</v>
      </c>
      <c r="M22" s="69"/>
    </row>
    <row r="23" spans="1:14" ht="14.5" hidden="1" x14ac:dyDescent="0.3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35">
      <c r="A24" s="75" t="s">
        <v>66</v>
      </c>
      <c r="B24" s="75">
        <f>SUM(B17:B22)</f>
        <v>28</v>
      </c>
      <c r="C24" s="88">
        <f>SUM(C17:C22)</f>
        <v>359557577.57999998</v>
      </c>
      <c r="D24" s="88">
        <f>C24/B24</f>
        <v>12841342.05642857</v>
      </c>
      <c r="F24" s="75" t="s">
        <v>66</v>
      </c>
      <c r="G24" s="75">
        <f>SUM(G17:G23)</f>
        <v>29</v>
      </c>
      <c r="H24" s="70">
        <f>SUM(H17:H22)</f>
        <v>423268662.81999999</v>
      </c>
      <c r="I24" s="70">
        <f>H24/G24</f>
        <v>14595471.131724138</v>
      </c>
      <c r="J24" s="46"/>
      <c r="K24" s="68">
        <f>SUM(K17:K23)</f>
        <v>1</v>
      </c>
      <c r="L24" s="70">
        <f>SUM(L17:L23)</f>
        <v>63711085.239999995</v>
      </c>
      <c r="M24" s="70"/>
    </row>
    <row r="25" spans="1:14" ht="8.5" customHeight="1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35">
      <c r="A26" s="71" t="s">
        <v>67</v>
      </c>
      <c r="B26" s="71"/>
      <c r="C26" s="72">
        <f>C12+C24</f>
        <v>815417266.57999992</v>
      </c>
      <c r="D26" s="72"/>
      <c r="E26" s="41"/>
      <c r="F26" s="71" t="s">
        <v>67</v>
      </c>
      <c r="G26" s="71"/>
      <c r="H26" s="72">
        <f>H12+H24</f>
        <v>840687271.81999993</v>
      </c>
      <c r="I26" s="72"/>
      <c r="J26" s="46"/>
      <c r="K26" s="71"/>
      <c r="L26" s="72">
        <f>L24+L12</f>
        <v>25270005.239999995</v>
      </c>
      <c r="M26" s="72"/>
      <c r="N26" s="35" t="s">
        <v>89</v>
      </c>
    </row>
    <row r="27" spans="1:14" ht="13.5" thickTop="1" x14ac:dyDescent="0.3"/>
    <row r="31" spans="1:14" x14ac:dyDescent="0.3">
      <c r="H31" s="122"/>
    </row>
    <row r="32" spans="1:14" x14ac:dyDescent="0.3">
      <c r="C32" s="78"/>
      <c r="H32" s="78"/>
    </row>
    <row r="33" spans="3:9" ht="15.5" x14ac:dyDescent="0.35">
      <c r="G33" s="125"/>
      <c r="H33" s="122"/>
    </row>
    <row r="34" spans="3:9" ht="15.5" x14ac:dyDescent="0.35">
      <c r="G34" s="125"/>
      <c r="H34" s="122"/>
    </row>
    <row r="35" spans="3:9" ht="15.5" x14ac:dyDescent="0.35">
      <c r="G35" s="125"/>
      <c r="H35" s="122"/>
    </row>
    <row r="36" spans="3:9" ht="15.5" x14ac:dyDescent="0.35">
      <c r="G36" s="123"/>
      <c r="H36" s="124"/>
    </row>
    <row r="37" spans="3:9" ht="15.5" x14ac:dyDescent="0.35">
      <c r="G37" s="123"/>
      <c r="H37" s="124"/>
    </row>
    <row r="38" spans="3:9" ht="15.5" x14ac:dyDescent="0.35">
      <c r="C38" s="78"/>
      <c r="G38" s="123"/>
      <c r="H38" s="124"/>
    </row>
    <row r="39" spans="3:9" ht="15.5" x14ac:dyDescent="0.35">
      <c r="G39" s="123"/>
      <c r="H39" s="124"/>
      <c r="I39" s="78"/>
    </row>
    <row r="40" spans="3:9" ht="15.5" x14ac:dyDescent="0.35">
      <c r="G40" s="123"/>
      <c r="H40" s="124"/>
    </row>
    <row r="41" spans="3:9" ht="15.5" x14ac:dyDescent="0.35">
      <c r="G41" s="123"/>
      <c r="H41" s="124"/>
    </row>
    <row r="42" spans="3:9" ht="15.5" x14ac:dyDescent="0.35">
      <c r="G42" s="123"/>
      <c r="H42" s="124"/>
    </row>
    <row r="43" spans="3:9" ht="15.5" x14ac:dyDescent="0.35">
      <c r="G43" s="123"/>
      <c r="H43" s="124"/>
    </row>
    <row r="44" spans="3:9" ht="15.5" x14ac:dyDescent="0.35">
      <c r="G44" s="123"/>
      <c r="H44" s="124"/>
    </row>
    <row r="45" spans="3:9" ht="15" thickBot="1" x14ac:dyDescent="0.4">
      <c r="G45" s="4"/>
      <c r="H45" s="126"/>
    </row>
    <row r="46" spans="3:9" ht="16" thickTop="1" x14ac:dyDescent="0.35">
      <c r="G46" s="12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795B-3292-4B02-825B-2F023BB2624F}">
  <dimension ref="A1:O47"/>
  <sheetViews>
    <sheetView workbookViewId="0">
      <selection activeCell="M26" sqref="M26:N27"/>
    </sheetView>
  </sheetViews>
  <sheetFormatPr defaultRowHeight="13" x14ac:dyDescent="0.3"/>
  <cols>
    <col min="1" max="1" width="29.08984375" style="35" customWidth="1"/>
    <col min="2" max="2" width="9.54296875" style="35" customWidth="1"/>
    <col min="3" max="3" width="14.6328125" style="35" bestFit="1" customWidth="1"/>
    <col min="4" max="4" width="14.26953125" style="35" bestFit="1" customWidth="1"/>
    <col min="5" max="5" width="2.08984375" style="35" customWidth="1"/>
    <col min="6" max="6" width="26.7265625" style="35" bestFit="1" customWidth="1"/>
    <col min="7" max="7" width="6.6328125" style="35" bestFit="1" customWidth="1"/>
    <col min="8" max="8" width="14.26953125" style="35" customWidth="1"/>
    <col min="9" max="9" width="14.26953125" style="35" bestFit="1" customWidth="1"/>
    <col min="10" max="10" width="1.7265625" style="47" customWidth="1"/>
    <col min="11" max="11" width="6" style="35" bestFit="1" customWidth="1"/>
    <col min="12" max="12" width="15.816406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2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37" t="s">
        <v>74</v>
      </c>
      <c r="J2" s="134"/>
      <c r="K2" s="135" t="s">
        <v>78</v>
      </c>
      <c r="L2" s="37" t="s">
        <v>76</v>
      </c>
      <c r="M2" s="37" t="s">
        <v>77</v>
      </c>
    </row>
    <row r="3" spans="1:15" ht="13.5" thickTop="1" x14ac:dyDescent="0.3">
      <c r="A3" s="136">
        <v>44989</v>
      </c>
      <c r="B3" s="137">
        <v>10</v>
      </c>
      <c r="C3" s="51">
        <v>59778864</v>
      </c>
      <c r="D3" s="51">
        <v>9240000</v>
      </c>
      <c r="F3" s="136">
        <v>45353</v>
      </c>
      <c r="G3" s="137">
        <v>10</v>
      </c>
      <c r="H3" s="51">
        <v>65287074</v>
      </c>
      <c r="I3" s="51">
        <v>9350000</v>
      </c>
      <c r="J3" s="45"/>
      <c r="K3" s="49">
        <f t="shared" ref="K3:L11" si="0">G3-B3</f>
        <v>0</v>
      </c>
      <c r="L3" s="38">
        <f t="shared" si="0"/>
        <v>5508210</v>
      </c>
      <c r="M3" s="38">
        <f>D3-I3</f>
        <v>-110000</v>
      </c>
    </row>
    <row r="4" spans="1:15" x14ac:dyDescent="0.3">
      <c r="A4" s="136">
        <v>44990</v>
      </c>
      <c r="B4" s="49">
        <v>9</v>
      </c>
      <c r="C4" s="51">
        <v>56561977.270000003</v>
      </c>
      <c r="D4" s="51">
        <v>7260000</v>
      </c>
      <c r="F4" s="136">
        <v>45360</v>
      </c>
      <c r="G4" s="49">
        <v>10</v>
      </c>
      <c r="H4" s="51">
        <v>66329547.380000003</v>
      </c>
      <c r="I4" s="51">
        <f>860000+1100000+820000+1190000+750000+1050000+730000+750000+780000+1250000</f>
        <v>9280000</v>
      </c>
      <c r="J4" s="45"/>
      <c r="K4" s="49">
        <f t="shared" si="0"/>
        <v>1</v>
      </c>
      <c r="L4" s="38">
        <f t="shared" si="0"/>
        <v>9767570.1099999994</v>
      </c>
      <c r="M4" s="38">
        <f t="shared" ref="M4:M11" si="1">D4-I4</f>
        <v>-2020000</v>
      </c>
      <c r="O4" s="35" t="s">
        <v>88</v>
      </c>
    </row>
    <row r="5" spans="1:15" x14ac:dyDescent="0.3">
      <c r="A5" s="136">
        <v>44996</v>
      </c>
      <c r="B5" s="49">
        <v>9</v>
      </c>
      <c r="C5" s="51">
        <v>62963462</v>
      </c>
      <c r="D5" s="51">
        <v>8040000</v>
      </c>
      <c r="F5" s="136">
        <v>45367</v>
      </c>
      <c r="G5" s="49">
        <v>10</v>
      </c>
      <c r="H5" s="51">
        <v>76811341</v>
      </c>
      <c r="I5" s="51">
        <v>8370000</v>
      </c>
      <c r="J5" s="45"/>
      <c r="K5" s="49">
        <f t="shared" si="0"/>
        <v>1</v>
      </c>
      <c r="L5" s="38">
        <f t="shared" si="0"/>
        <v>13847879</v>
      </c>
      <c r="M5" s="38">
        <f t="shared" si="1"/>
        <v>-330000</v>
      </c>
    </row>
    <row r="6" spans="1:15" x14ac:dyDescent="0.3">
      <c r="A6" s="136">
        <v>44997</v>
      </c>
      <c r="B6" s="49">
        <v>9</v>
      </c>
      <c r="C6" s="51">
        <v>54471941.030000001</v>
      </c>
      <c r="D6" s="51">
        <v>7650000</v>
      </c>
      <c r="F6" s="136">
        <v>45374</v>
      </c>
      <c r="G6" s="49">
        <v>10</v>
      </c>
      <c r="H6" s="108">
        <v>70523687</v>
      </c>
      <c r="I6" s="51">
        <v>9630000</v>
      </c>
      <c r="J6" s="45"/>
      <c r="K6" s="49">
        <f t="shared" si="0"/>
        <v>1</v>
      </c>
      <c r="L6" s="38">
        <f t="shared" si="0"/>
        <v>16051745.969999999</v>
      </c>
      <c r="M6" s="38">
        <f t="shared" si="1"/>
        <v>-1980000</v>
      </c>
    </row>
    <row r="7" spans="1:15" x14ac:dyDescent="0.3">
      <c r="A7" s="136">
        <v>45003</v>
      </c>
      <c r="B7" s="49">
        <v>9</v>
      </c>
      <c r="C7" s="51">
        <v>65459742.329999998</v>
      </c>
      <c r="D7" s="51">
        <v>7300000</v>
      </c>
      <c r="F7" s="136">
        <v>45375</v>
      </c>
      <c r="G7" s="49">
        <v>9</v>
      </c>
      <c r="H7" s="146">
        <v>55418340</v>
      </c>
      <c r="I7" s="51">
        <f>720000+790000+750000+860000+780000+1050000+730000+1200000+1250000</f>
        <v>8130000</v>
      </c>
      <c r="J7" s="45"/>
      <c r="K7" s="49">
        <f t="shared" si="0"/>
        <v>0</v>
      </c>
      <c r="L7" s="38">
        <f t="shared" si="0"/>
        <v>-10041402.329999998</v>
      </c>
      <c r="M7" s="38">
        <f t="shared" si="1"/>
        <v>-830000</v>
      </c>
    </row>
    <row r="8" spans="1:15" x14ac:dyDescent="0.3">
      <c r="A8" s="136">
        <v>45004</v>
      </c>
      <c r="B8" s="49">
        <v>10</v>
      </c>
      <c r="C8" s="51">
        <v>65687344.659999996</v>
      </c>
      <c r="D8" s="51">
        <v>8210000</v>
      </c>
      <c r="F8" s="136">
        <v>45381</v>
      </c>
      <c r="G8" s="49">
        <v>10</v>
      </c>
      <c r="H8" s="108">
        <v>74557083</v>
      </c>
      <c r="I8" s="51">
        <f>700000+800000+600000+1190000+730000+1050000+780000+780000+1250000+750000</f>
        <v>8630000</v>
      </c>
      <c r="J8" s="45"/>
      <c r="K8" s="49">
        <f t="shared" si="0"/>
        <v>0</v>
      </c>
      <c r="L8" s="38">
        <f t="shared" si="0"/>
        <v>8869738.3400000036</v>
      </c>
      <c r="M8" s="38">
        <f t="shared" si="1"/>
        <v>-420000</v>
      </c>
    </row>
    <row r="9" spans="1:15" x14ac:dyDescent="0.3">
      <c r="A9" s="136">
        <v>45010</v>
      </c>
      <c r="B9" s="138">
        <v>10</v>
      </c>
      <c r="C9" s="51">
        <v>77870439</v>
      </c>
      <c r="D9" s="108">
        <v>8410000</v>
      </c>
      <c r="F9" s="136"/>
      <c r="G9" s="138"/>
      <c r="H9" s="51"/>
      <c r="I9" s="108"/>
      <c r="J9" s="45"/>
      <c r="K9" s="49">
        <f t="shared" si="0"/>
        <v>-10</v>
      </c>
      <c r="L9" s="38">
        <f t="shared" si="0"/>
        <v>-77870439</v>
      </c>
      <c r="M9" s="38">
        <f t="shared" si="1"/>
        <v>8410000</v>
      </c>
    </row>
    <row r="10" spans="1:15" hidden="1" x14ac:dyDescent="0.3">
      <c r="A10" s="136"/>
      <c r="B10" s="49"/>
      <c r="C10" s="51"/>
      <c r="D10" s="43"/>
      <c r="F10" s="136"/>
      <c r="G10" s="49"/>
      <c r="H10" s="51"/>
      <c r="I10" s="108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idden="1" x14ac:dyDescent="0.3">
      <c r="A11" s="136"/>
      <c r="B11" s="49"/>
      <c r="C11" s="51"/>
      <c r="D11" s="43"/>
      <c r="F11" s="136"/>
      <c r="G11" s="49"/>
      <c r="H11" s="51"/>
      <c r="I11" s="38"/>
      <c r="J11" s="45"/>
      <c r="K11" s="129"/>
      <c r="L11" s="38">
        <f t="shared" si="0"/>
        <v>0</v>
      </c>
      <c r="M11" s="38">
        <f t="shared" si="1"/>
        <v>0</v>
      </c>
    </row>
    <row r="12" spans="1:15" ht="13.5" thickBot="1" x14ac:dyDescent="0.35">
      <c r="A12" s="52" t="s">
        <v>66</v>
      </c>
      <c r="B12" s="52">
        <f>SUM(B3:B11)</f>
        <v>66</v>
      </c>
      <c r="C12" s="39">
        <f>SUM(C3:C11)</f>
        <v>442793770.28999996</v>
      </c>
      <c r="D12" s="39">
        <f>SUM(D3:D11)</f>
        <v>56110000</v>
      </c>
      <c r="E12" s="54">
        <f>SUM(D3:D10)</f>
        <v>56110000</v>
      </c>
      <c r="F12" s="52" t="s">
        <v>66</v>
      </c>
      <c r="G12" s="52">
        <f>SUM(G3:G11)</f>
        <v>59</v>
      </c>
      <c r="H12" s="39">
        <f>SUM(H3:H11)</f>
        <v>408927072.38</v>
      </c>
      <c r="I12" s="39">
        <f>SUM(I3:I11)</f>
        <v>53390000</v>
      </c>
      <c r="J12" s="39">
        <f>SUM(I3:I11)</f>
        <v>53390000</v>
      </c>
      <c r="K12" s="133">
        <f>COUNT(K3:K11)</f>
        <v>8</v>
      </c>
      <c r="L12" s="139">
        <f>SUM(L3:L11)</f>
        <v>-33866697.909999996</v>
      </c>
      <c r="M12" s="39">
        <f>SUM(M3:M11)</f>
        <v>2720000</v>
      </c>
      <c r="N12" s="39"/>
    </row>
    <row r="13" spans="1:15" ht="13.5" thickTop="1" x14ac:dyDescent="0.3">
      <c r="A13" s="65" t="s">
        <v>72</v>
      </c>
      <c r="B13" s="62">
        <f>SUM(B3:B11)/COUNT(B3:B11)</f>
        <v>9.4285714285714288</v>
      </c>
      <c r="C13" s="63">
        <f>SUM(C3:C11)/COUNT(C3:C11)</f>
        <v>63256252.898571424</v>
      </c>
      <c r="D13" s="63">
        <f>SUM(D3:D11)/COUNT(D3:D11)</f>
        <v>8015714.2857142854</v>
      </c>
      <c r="F13" s="59"/>
      <c r="G13" s="60">
        <f>SUM(G3:G11)/COUNT(G3:G11)</f>
        <v>9.8333333333333339</v>
      </c>
      <c r="H13" s="61">
        <f>SUM(H3:H11)/COUNT(H3:H11)</f>
        <v>68154512.063333333</v>
      </c>
      <c r="I13" s="61">
        <f>SUM(I3:I11)/COUNT(I3:I11)</f>
        <v>8898333.333333334</v>
      </c>
      <c r="J13" s="48"/>
      <c r="K13" s="62">
        <f>SUM(K4:K11)/COUNT(K3:K11)</f>
        <v>-0.875</v>
      </c>
      <c r="L13" s="63">
        <f>SUM(L3:L11)/COUNT(L3:L11)</f>
        <v>-3762966.4344444443</v>
      </c>
      <c r="M13" s="63">
        <f>SUM(M3:M11)/COUNT(M3:M11)</f>
        <v>302222.22222222225</v>
      </c>
    </row>
    <row r="14" spans="1:15" hidden="1" x14ac:dyDescent="0.3">
      <c r="H14" s="78">
        <f>H12/G12</f>
        <v>6930967.3284745766</v>
      </c>
    </row>
    <row r="15" spans="1:15" x14ac:dyDescent="0.3">
      <c r="A15" s="34" t="s">
        <v>71</v>
      </c>
      <c r="H15" s="78"/>
    </row>
    <row r="16" spans="1:15" ht="26.5" thickBot="1" x14ac:dyDescent="0.35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140" t="s">
        <v>78</v>
      </c>
      <c r="L16" s="67" t="s">
        <v>76</v>
      </c>
      <c r="M16" s="67" t="s">
        <v>77</v>
      </c>
    </row>
    <row r="17" spans="1:14" x14ac:dyDescent="0.3">
      <c r="A17" s="136">
        <v>44989</v>
      </c>
      <c r="B17" s="68">
        <v>4</v>
      </c>
      <c r="C17" s="113">
        <v>58816584.469999999</v>
      </c>
      <c r="D17" s="69">
        <f>C17/B17</f>
        <v>14704146.1175</v>
      </c>
      <c r="F17" s="136">
        <v>45353</v>
      </c>
      <c r="G17" s="68">
        <v>2</v>
      </c>
      <c r="H17" s="113">
        <v>40268575.710000001</v>
      </c>
      <c r="I17" s="69">
        <f>H17/G17</f>
        <v>20134287.855</v>
      </c>
      <c r="J17" s="45"/>
      <c r="K17" s="68">
        <f t="shared" ref="K17:L24" si="2">G17-B17</f>
        <v>-2</v>
      </c>
      <c r="L17" s="69">
        <f>H17-C17</f>
        <v>-18548008.759999998</v>
      </c>
      <c r="M17" s="69"/>
    </row>
    <row r="18" spans="1:14" x14ac:dyDescent="0.3">
      <c r="A18" s="136">
        <v>44996</v>
      </c>
      <c r="B18" s="68">
        <v>7</v>
      </c>
      <c r="C18" s="113">
        <v>88481494.599999994</v>
      </c>
      <c r="D18" s="69">
        <f>C18/B18</f>
        <v>12640213.514285713</v>
      </c>
      <c r="F18" s="136">
        <v>45360</v>
      </c>
      <c r="G18" s="68">
        <v>7</v>
      </c>
      <c r="H18" s="113">
        <v>94470247.319999993</v>
      </c>
      <c r="I18" s="69">
        <f>H18/G18</f>
        <v>13495749.617142856</v>
      </c>
      <c r="J18" s="45"/>
      <c r="K18" s="68">
        <f t="shared" si="2"/>
        <v>0</v>
      </c>
      <c r="L18" s="69">
        <f>H18-C18</f>
        <v>5988752.7199999988</v>
      </c>
      <c r="M18" s="69"/>
    </row>
    <row r="19" spans="1:14" x14ac:dyDescent="0.3">
      <c r="A19" s="136">
        <v>45003</v>
      </c>
      <c r="B19" s="68">
        <v>7</v>
      </c>
      <c r="C19" s="74">
        <v>84210837.200000003</v>
      </c>
      <c r="D19" s="69">
        <f t="shared" ref="D19:D21" si="3">C19/B19</f>
        <v>12030119.6</v>
      </c>
      <c r="F19" s="136">
        <v>45367</v>
      </c>
      <c r="G19" s="68">
        <v>7</v>
      </c>
      <c r="H19" s="74">
        <f>73099610.63+19270580.13</f>
        <v>92370190.75999999</v>
      </c>
      <c r="I19" s="69">
        <f t="shared" ref="I19:I24" si="4">H19/G19</f>
        <v>13195741.537142856</v>
      </c>
      <c r="J19" s="45"/>
      <c r="K19" s="68">
        <f t="shared" si="2"/>
        <v>0</v>
      </c>
      <c r="L19" s="69">
        <f>H19-C19</f>
        <v>8159353.5599999875</v>
      </c>
      <c r="M19" s="69"/>
    </row>
    <row r="20" spans="1:14" x14ac:dyDescent="0.3">
      <c r="A20" s="136">
        <v>45010</v>
      </c>
      <c r="B20" s="68">
        <v>7</v>
      </c>
      <c r="C20" s="74">
        <v>82408362.900000006</v>
      </c>
      <c r="D20" s="69">
        <f t="shared" si="3"/>
        <v>11772623.271428572</v>
      </c>
      <c r="F20" s="136">
        <v>45374</v>
      </c>
      <c r="G20" s="68">
        <v>7</v>
      </c>
      <c r="H20" s="74">
        <v>88359246.239999995</v>
      </c>
      <c r="I20" s="69">
        <f t="shared" si="4"/>
        <v>12622749.462857142</v>
      </c>
      <c r="J20" s="45"/>
      <c r="K20" s="68">
        <f t="shared" si="2"/>
        <v>0</v>
      </c>
      <c r="L20" s="69">
        <f t="shared" si="2"/>
        <v>5950883.3399999887</v>
      </c>
      <c r="M20" s="69"/>
    </row>
    <row r="21" spans="1:14" x14ac:dyDescent="0.3">
      <c r="A21" s="136">
        <v>45016</v>
      </c>
      <c r="B21" s="68">
        <v>6</v>
      </c>
      <c r="C21" s="74">
        <v>70262573.590000004</v>
      </c>
      <c r="D21" s="69">
        <f t="shared" si="3"/>
        <v>11710428.931666667</v>
      </c>
      <c r="F21" s="136">
        <v>45381</v>
      </c>
      <c r="G21" s="68">
        <v>7</v>
      </c>
      <c r="H21" s="74">
        <v>85120777.950000003</v>
      </c>
      <c r="I21" s="69">
        <f t="shared" si="4"/>
        <v>12160111.135714287</v>
      </c>
      <c r="J21" s="45"/>
      <c r="K21" s="68">
        <f t="shared" si="2"/>
        <v>1</v>
      </c>
      <c r="L21" s="69">
        <f t="shared" si="2"/>
        <v>14858204.359999999</v>
      </c>
      <c r="M21" s="69"/>
    </row>
    <row r="22" spans="1:14" hidden="1" x14ac:dyDescent="0.3">
      <c r="A22" s="136"/>
      <c r="B22" s="68"/>
      <c r="C22" s="106"/>
      <c r="D22" s="69"/>
      <c r="F22" s="136">
        <v>45382</v>
      </c>
      <c r="G22" s="68">
        <v>7</v>
      </c>
      <c r="H22" s="74"/>
      <c r="I22" s="69">
        <f t="shared" si="4"/>
        <v>0</v>
      </c>
      <c r="J22" s="45"/>
      <c r="K22" s="68"/>
      <c r="L22" s="69">
        <f t="shared" si="2"/>
        <v>0</v>
      </c>
      <c r="M22" s="69"/>
    </row>
    <row r="23" spans="1:14" hidden="1" x14ac:dyDescent="0.3">
      <c r="A23" s="73"/>
      <c r="B23" s="68"/>
      <c r="C23" s="87"/>
      <c r="D23" s="74"/>
      <c r="F23" s="136">
        <v>45383</v>
      </c>
      <c r="G23" s="68">
        <v>7</v>
      </c>
      <c r="H23" s="147"/>
      <c r="I23" s="69">
        <f t="shared" si="4"/>
        <v>0</v>
      </c>
      <c r="J23" s="45"/>
      <c r="K23" s="68"/>
      <c r="L23" s="69">
        <f t="shared" si="2"/>
        <v>0</v>
      </c>
      <c r="M23" s="69"/>
    </row>
    <row r="24" spans="1:14" x14ac:dyDescent="0.3">
      <c r="A24" s="73"/>
      <c r="B24" s="68"/>
      <c r="C24" s="87"/>
      <c r="D24" s="74"/>
      <c r="F24" s="136">
        <v>45382</v>
      </c>
      <c r="G24" s="68">
        <v>1</v>
      </c>
      <c r="H24" s="148">
        <v>9070495.9399999995</v>
      </c>
      <c r="I24" s="69">
        <f t="shared" si="4"/>
        <v>9070495.9399999995</v>
      </c>
      <c r="J24" s="45"/>
      <c r="K24" s="68"/>
      <c r="L24" s="69">
        <f t="shared" si="2"/>
        <v>9070495.9399999995</v>
      </c>
      <c r="M24" s="69"/>
    </row>
    <row r="25" spans="1:14" ht="13.5" thickBot="1" x14ac:dyDescent="0.35">
      <c r="A25" s="75" t="s">
        <v>66</v>
      </c>
      <c r="B25" s="75">
        <f>SUM(B17:B22)</f>
        <v>31</v>
      </c>
      <c r="C25" s="88">
        <f>SUM(C17:C22)</f>
        <v>384179852.75999999</v>
      </c>
      <c r="D25" s="88">
        <f>C25/B25</f>
        <v>12392898.476129033</v>
      </c>
      <c r="F25" s="75" t="s">
        <v>66</v>
      </c>
      <c r="G25" s="75">
        <f>G17+G18+G19+G20+G21+G24</f>
        <v>31</v>
      </c>
      <c r="H25" s="70">
        <f>SUM(H17:H24)</f>
        <v>409659533.91999996</v>
      </c>
      <c r="I25" s="70">
        <f>H25/G25</f>
        <v>13214823.674838709</v>
      </c>
      <c r="J25" s="46"/>
      <c r="K25" s="68">
        <f>SUM(K17:K23)</f>
        <v>-1</v>
      </c>
      <c r="L25" s="70">
        <f>SUM(L17:L24)</f>
        <v>25479681.159999974</v>
      </c>
      <c r="M25" s="70"/>
    </row>
    <row r="26" spans="1:14" ht="8.5" customHeight="1" thickTop="1" x14ac:dyDescent="0.3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4" ht="13.5" thickBot="1" x14ac:dyDescent="0.35">
      <c r="A27" s="71" t="s">
        <v>67</v>
      </c>
      <c r="B27" s="71"/>
      <c r="C27" s="72">
        <f>C12+C25</f>
        <v>826973623.04999995</v>
      </c>
      <c r="D27" s="72"/>
      <c r="E27" s="41"/>
      <c r="F27" s="71" t="s">
        <v>67</v>
      </c>
      <c r="G27" s="71"/>
      <c r="H27" s="72">
        <f>H12+H25</f>
        <v>818586606.29999995</v>
      </c>
      <c r="I27" s="72"/>
      <c r="J27" s="46"/>
      <c r="K27" s="71"/>
      <c r="L27" s="72">
        <f>L25+L12</f>
        <v>-8387016.7500000224</v>
      </c>
      <c r="M27" s="72"/>
      <c r="N27" s="35" t="s">
        <v>89</v>
      </c>
    </row>
    <row r="28" spans="1:14" ht="13.5" thickTop="1" x14ac:dyDescent="0.3"/>
    <row r="32" spans="1:14" x14ac:dyDescent="0.3">
      <c r="H32" s="122"/>
    </row>
    <row r="33" spans="3:9" x14ac:dyDescent="0.3">
      <c r="C33" s="78"/>
      <c r="H33" s="78"/>
    </row>
    <row r="34" spans="3:9" x14ac:dyDescent="0.3">
      <c r="G34" s="142"/>
      <c r="H34" s="122"/>
    </row>
    <row r="35" spans="3:9" x14ac:dyDescent="0.3">
      <c r="G35" s="142"/>
      <c r="H35" s="122"/>
    </row>
    <row r="36" spans="3:9" x14ac:dyDescent="0.3">
      <c r="G36" s="142"/>
      <c r="H36" s="122"/>
    </row>
    <row r="37" spans="3:9" x14ac:dyDescent="0.3">
      <c r="H37" s="143"/>
    </row>
    <row r="38" spans="3:9" x14ac:dyDescent="0.3">
      <c r="H38" s="143"/>
    </row>
    <row r="39" spans="3:9" x14ac:dyDescent="0.3">
      <c r="C39" s="78"/>
      <c r="H39" s="143"/>
    </row>
    <row r="40" spans="3:9" x14ac:dyDescent="0.3">
      <c r="H40" s="143"/>
      <c r="I40" s="78"/>
    </row>
    <row r="41" spans="3:9" x14ac:dyDescent="0.3">
      <c r="H41" s="143"/>
    </row>
    <row r="42" spans="3:9" x14ac:dyDescent="0.3">
      <c r="H42" s="143"/>
    </row>
    <row r="43" spans="3:9" x14ac:dyDescent="0.3">
      <c r="H43" s="143"/>
    </row>
    <row r="44" spans="3:9" x14ac:dyDescent="0.3">
      <c r="H44" s="143"/>
    </row>
    <row r="45" spans="3:9" x14ac:dyDescent="0.3">
      <c r="H45" s="143"/>
    </row>
    <row r="46" spans="3:9" ht="13.5" thickBot="1" x14ac:dyDescent="0.35">
      <c r="G46" s="144"/>
      <c r="H46" s="145"/>
    </row>
    <row r="47" spans="3:9" ht="13.5" thickTop="1" x14ac:dyDescent="0.3"/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DD9A-DF93-44E8-86DF-06EBBECD81AA}">
  <dimension ref="A1:O44"/>
  <sheetViews>
    <sheetView tabSelected="1" workbookViewId="0">
      <selection activeCell="N24" sqref="N24"/>
    </sheetView>
  </sheetViews>
  <sheetFormatPr defaultRowHeight="13" x14ac:dyDescent="0.3"/>
  <cols>
    <col min="1" max="1" width="26.36328125" style="35" customWidth="1"/>
    <col min="2" max="2" width="5.6328125" style="35" bestFit="1" customWidth="1"/>
    <col min="3" max="3" width="14.6328125" style="35" bestFit="1" customWidth="1"/>
    <col min="4" max="4" width="13.36328125" style="35" bestFit="1" customWidth="1"/>
    <col min="5" max="5" width="2.08984375" style="35" customWidth="1"/>
    <col min="6" max="6" width="24" style="35" customWidth="1"/>
    <col min="7" max="7" width="6.6328125" style="35" bestFit="1" customWidth="1"/>
    <col min="8" max="8" width="19.81640625" style="35" bestFit="1" customWidth="1"/>
    <col min="9" max="9" width="15.6328125" style="35" bestFit="1" customWidth="1"/>
    <col min="10" max="10" width="1.7265625" style="47" customWidth="1"/>
    <col min="11" max="11" width="5.1796875" style="35" bestFit="1" customWidth="1"/>
    <col min="12" max="12" width="14.26953125" style="35" bestFit="1" customWidth="1"/>
    <col min="13" max="13" width="13.36328125" style="35" bestFit="1" customWidth="1"/>
    <col min="14" max="14" width="4.54296875" style="35" customWidth="1"/>
    <col min="15" max="16384" width="8.7265625" style="35"/>
  </cols>
  <sheetData>
    <row r="1" spans="1:15" x14ac:dyDescent="0.3">
      <c r="A1" s="34" t="s">
        <v>73</v>
      </c>
      <c r="F1" s="122"/>
      <c r="G1" s="122"/>
      <c r="H1" s="122"/>
    </row>
    <row r="2" spans="1:15" s="36" customFormat="1" ht="2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37" t="s">
        <v>74</v>
      </c>
      <c r="J2" s="134"/>
      <c r="K2" s="135" t="s">
        <v>78</v>
      </c>
      <c r="L2" s="37" t="s">
        <v>76</v>
      </c>
      <c r="M2" s="37" t="s">
        <v>77</v>
      </c>
    </row>
    <row r="3" spans="1:15" ht="13.5" thickTop="1" x14ac:dyDescent="0.3">
      <c r="A3" s="136">
        <v>45017</v>
      </c>
      <c r="B3" s="137">
        <v>10</v>
      </c>
      <c r="C3" s="51">
        <v>68224809.030000001</v>
      </c>
      <c r="D3" s="51">
        <v>8150000</v>
      </c>
      <c r="F3" s="136">
        <v>45383</v>
      </c>
      <c r="G3" s="137">
        <v>10</v>
      </c>
      <c r="H3" s="51">
        <v>77192532</v>
      </c>
      <c r="I3" s="51">
        <v>10470000</v>
      </c>
      <c r="J3" s="45"/>
      <c r="K3" s="49">
        <f t="shared" ref="K3:L10" si="0">G3-B3</f>
        <v>0</v>
      </c>
      <c r="L3" s="38">
        <f t="shared" si="0"/>
        <v>8967722.9699999988</v>
      </c>
      <c r="M3" s="38">
        <f>D3-I3</f>
        <v>-2320000</v>
      </c>
    </row>
    <row r="4" spans="1:15" x14ac:dyDescent="0.3">
      <c r="A4" s="136">
        <v>45024</v>
      </c>
      <c r="B4" s="49">
        <v>10</v>
      </c>
      <c r="C4" s="51">
        <v>66188865.719999999</v>
      </c>
      <c r="D4" s="51">
        <v>9850000</v>
      </c>
      <c r="F4" s="136">
        <v>45388</v>
      </c>
      <c r="G4" s="49"/>
      <c r="H4" s="51"/>
      <c r="I4" s="51"/>
      <c r="J4" s="45"/>
      <c r="K4" s="49">
        <f t="shared" si="0"/>
        <v>-10</v>
      </c>
      <c r="L4" s="38">
        <f t="shared" si="0"/>
        <v>-66188865.719999999</v>
      </c>
      <c r="M4" s="38">
        <f t="shared" ref="M4:M10" si="1">D4-I4</f>
        <v>9850000</v>
      </c>
    </row>
    <row r="5" spans="1:15" x14ac:dyDescent="0.3">
      <c r="A5" s="136">
        <v>45025</v>
      </c>
      <c r="B5" s="49">
        <v>9</v>
      </c>
      <c r="C5" s="51">
        <v>57939973.609999999</v>
      </c>
      <c r="D5" s="51">
        <v>8110000</v>
      </c>
      <c r="F5" s="136">
        <v>45395</v>
      </c>
      <c r="G5" s="49"/>
      <c r="H5" s="51"/>
      <c r="I5" s="51"/>
      <c r="J5" s="45"/>
      <c r="K5" s="49">
        <f t="shared" si="0"/>
        <v>-9</v>
      </c>
      <c r="L5" s="38">
        <f t="shared" si="0"/>
        <v>-57939973.609999999</v>
      </c>
      <c r="M5" s="38">
        <f t="shared" si="1"/>
        <v>8110000</v>
      </c>
    </row>
    <row r="6" spans="1:15" x14ac:dyDescent="0.3">
      <c r="A6" s="136">
        <v>45026</v>
      </c>
      <c r="B6" s="49">
        <v>10</v>
      </c>
      <c r="C6" s="51">
        <v>64452630</v>
      </c>
      <c r="D6" s="51">
        <v>8350000</v>
      </c>
      <c r="F6" s="136">
        <v>45396</v>
      </c>
      <c r="G6" s="49"/>
      <c r="H6" s="51"/>
      <c r="I6" s="51"/>
      <c r="J6" s="45"/>
      <c r="K6" s="49">
        <f t="shared" si="0"/>
        <v>-10</v>
      </c>
      <c r="L6" s="38">
        <f t="shared" si="0"/>
        <v>-64452630</v>
      </c>
      <c r="M6" s="38">
        <f t="shared" si="1"/>
        <v>8350000</v>
      </c>
    </row>
    <row r="7" spans="1:15" x14ac:dyDescent="0.3">
      <c r="A7" s="136">
        <v>45031</v>
      </c>
      <c r="B7" s="49">
        <v>9</v>
      </c>
      <c r="C7" s="51">
        <v>57778293</v>
      </c>
      <c r="D7" s="51">
        <v>7590000</v>
      </c>
      <c r="F7" s="136">
        <v>45402</v>
      </c>
      <c r="G7" s="49"/>
      <c r="H7" s="51"/>
      <c r="I7" s="51"/>
      <c r="J7" s="45"/>
      <c r="K7" s="49">
        <f t="shared" si="0"/>
        <v>-9</v>
      </c>
      <c r="L7" s="38">
        <f t="shared" si="0"/>
        <v>-57778293</v>
      </c>
      <c r="M7" s="38">
        <f t="shared" si="1"/>
        <v>7590000</v>
      </c>
    </row>
    <row r="8" spans="1:15" x14ac:dyDescent="0.3">
      <c r="A8" s="136">
        <v>45038</v>
      </c>
      <c r="B8" s="49">
        <v>10</v>
      </c>
      <c r="C8" s="51">
        <v>61227465</v>
      </c>
      <c r="D8" s="51">
        <v>9180000</v>
      </c>
      <c r="F8" s="136">
        <v>45409</v>
      </c>
      <c r="G8" s="49"/>
      <c r="H8" s="51"/>
      <c r="I8" s="51"/>
      <c r="J8" s="45"/>
      <c r="K8" s="49">
        <f t="shared" si="0"/>
        <v>-10</v>
      </c>
      <c r="L8" s="38">
        <f t="shared" si="0"/>
        <v>-61227465</v>
      </c>
      <c r="M8" s="38">
        <f t="shared" si="1"/>
        <v>9180000</v>
      </c>
    </row>
    <row r="9" spans="1:15" x14ac:dyDescent="0.3">
      <c r="A9" s="136">
        <v>45039</v>
      </c>
      <c r="B9" s="138">
        <v>9</v>
      </c>
      <c r="C9" s="51">
        <v>58279261</v>
      </c>
      <c r="D9" s="108">
        <v>7290000</v>
      </c>
      <c r="F9" s="136">
        <v>45410</v>
      </c>
      <c r="G9" s="138"/>
      <c r="H9" s="51"/>
      <c r="I9" s="108"/>
      <c r="J9" s="45"/>
      <c r="K9" s="49">
        <f t="shared" si="0"/>
        <v>-9</v>
      </c>
      <c r="L9" s="38">
        <f t="shared" si="0"/>
        <v>-58279261</v>
      </c>
      <c r="M9" s="38">
        <f t="shared" si="1"/>
        <v>7290000</v>
      </c>
      <c r="O9" s="35" t="s">
        <v>82</v>
      </c>
    </row>
    <row r="10" spans="1:15" x14ac:dyDescent="0.3">
      <c r="A10" s="136">
        <v>45045</v>
      </c>
      <c r="B10" s="49">
        <v>10</v>
      </c>
      <c r="C10" s="51">
        <v>72120380</v>
      </c>
      <c r="D10" s="43">
        <v>8770000</v>
      </c>
      <c r="F10" s="136"/>
      <c r="G10" s="49"/>
      <c r="H10" s="51"/>
      <c r="I10" s="43"/>
      <c r="J10" s="45"/>
      <c r="K10" s="49">
        <f t="shared" si="0"/>
        <v>-10</v>
      </c>
      <c r="L10" s="38">
        <f t="shared" si="0"/>
        <v>-72120380</v>
      </c>
      <c r="M10" s="38">
        <f t="shared" si="1"/>
        <v>8770000</v>
      </c>
    </row>
    <row r="11" spans="1:15" ht="13.5" thickBot="1" x14ac:dyDescent="0.35">
      <c r="A11" s="52" t="s">
        <v>66</v>
      </c>
      <c r="B11" s="52">
        <f>SUM(B3:B10)</f>
        <v>77</v>
      </c>
      <c r="C11" s="39">
        <f>SUM(C3:C10)</f>
        <v>506211677.36000001</v>
      </c>
      <c r="D11" s="54">
        <f>SUM(D3:D10)</f>
        <v>67290000</v>
      </c>
      <c r="F11" s="52" t="s">
        <v>66</v>
      </c>
      <c r="G11" s="52">
        <f>SUM(G3:G10)</f>
        <v>10</v>
      </c>
      <c r="H11" s="39">
        <f>SUM(H3:H10)</f>
        <v>77192532</v>
      </c>
      <c r="I11" s="39">
        <f>SUM(I3:I10)</f>
        <v>10470000</v>
      </c>
      <c r="J11" s="46"/>
      <c r="K11" s="149">
        <f>G11-B11</f>
        <v>-67</v>
      </c>
      <c r="L11" s="39">
        <f>SUM(L3:L10)</f>
        <v>-429019145.36000001</v>
      </c>
      <c r="M11" s="39">
        <f>SUM(M3:M10)</f>
        <v>56820000</v>
      </c>
    </row>
    <row r="12" spans="1:15" ht="13.5" thickTop="1" x14ac:dyDescent="0.3">
      <c r="A12" s="65" t="s">
        <v>72</v>
      </c>
      <c r="B12" s="62">
        <f>SUM(B3:B10)/COUNT(B3:B10)</f>
        <v>9.625</v>
      </c>
      <c r="C12" s="63">
        <f>SUM(C3:C10)/COUNT(C3:C10)</f>
        <v>63276459.670000002</v>
      </c>
      <c r="D12" s="63">
        <f>SUM(D3:D10)/COUNT(D3:D10)</f>
        <v>8411250</v>
      </c>
      <c r="F12" s="59"/>
      <c r="G12" s="60">
        <f>SUM(G3:G10)/COUNT(G3:G10)</f>
        <v>10</v>
      </c>
      <c r="H12" s="61">
        <f>SUM(H3:H10)/COUNT(H3:H10)</f>
        <v>77192532</v>
      </c>
      <c r="I12" s="61">
        <f>SUM(I3:I10)/COUNT(I3:I10)</f>
        <v>10470000</v>
      </c>
      <c r="J12" s="48"/>
      <c r="K12" s="62">
        <f>SUM(K3:K10)/COUNT(K3:K10)</f>
        <v>-8.375</v>
      </c>
      <c r="L12" s="63">
        <f>SUM(L3:L10)/COUNT(L3:L10)</f>
        <v>-53627393.170000002</v>
      </c>
      <c r="M12" s="63">
        <f>SUM(M3:M10)/COUNT(M3:M10)</f>
        <v>7102500</v>
      </c>
    </row>
    <row r="13" spans="1:15" hidden="1" x14ac:dyDescent="0.3">
      <c r="H13" s="78">
        <f>H11/G11</f>
        <v>7719253.2000000002</v>
      </c>
    </row>
    <row r="14" spans="1:15" x14ac:dyDescent="0.3">
      <c r="A14" s="34" t="s">
        <v>71</v>
      </c>
    </row>
    <row r="15" spans="1:15" ht="26.5" thickBot="1" x14ac:dyDescent="0.35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140" t="s">
        <v>78</v>
      </c>
      <c r="L15" s="67" t="s">
        <v>76</v>
      </c>
      <c r="M15" s="67" t="s">
        <v>77</v>
      </c>
    </row>
    <row r="16" spans="1:15" x14ac:dyDescent="0.3">
      <c r="A16" s="136">
        <v>44653</v>
      </c>
      <c r="B16" s="68">
        <v>2</v>
      </c>
      <c r="C16" s="74">
        <f>12525974.83+19033245.36</f>
        <v>31559220.189999998</v>
      </c>
      <c r="D16" s="74">
        <f>C16/B16</f>
        <v>15779610.094999999</v>
      </c>
      <c r="F16" s="136">
        <v>45388</v>
      </c>
      <c r="G16" s="68">
        <v>6</v>
      </c>
      <c r="H16" s="113"/>
      <c r="I16" s="69">
        <f>H16/G16</f>
        <v>0</v>
      </c>
      <c r="J16" s="45"/>
      <c r="K16" s="68">
        <f t="shared" ref="K16:L20" si="2">G16-B16</f>
        <v>4</v>
      </c>
      <c r="L16" s="69">
        <f>H16-C16</f>
        <v>-31559220.189999998</v>
      </c>
      <c r="M16" s="69"/>
    </row>
    <row r="17" spans="1:13" x14ac:dyDescent="0.3">
      <c r="A17" s="136">
        <v>44660</v>
      </c>
      <c r="B17" s="68">
        <v>7</v>
      </c>
      <c r="C17" s="74">
        <v>85689672.980000004</v>
      </c>
      <c r="D17" s="74">
        <f t="shared" ref="D17:D20" si="3">C17/B17</f>
        <v>12241381.854285715</v>
      </c>
      <c r="F17" s="136">
        <v>45395</v>
      </c>
      <c r="G17" s="68">
        <v>7</v>
      </c>
      <c r="H17" s="113"/>
      <c r="I17" s="69">
        <f t="shared" ref="I17:I20" si="4">H17/G17</f>
        <v>0</v>
      </c>
      <c r="J17" s="45"/>
      <c r="K17" s="68">
        <f t="shared" si="2"/>
        <v>0</v>
      </c>
      <c r="L17" s="69">
        <f>H17-C17</f>
        <v>-85689672.980000004</v>
      </c>
      <c r="M17" s="69"/>
    </row>
    <row r="18" spans="1:13" x14ac:dyDescent="0.3">
      <c r="A18" s="136">
        <v>44667</v>
      </c>
      <c r="B18" s="68">
        <v>7</v>
      </c>
      <c r="C18" s="74">
        <v>69693435.129999995</v>
      </c>
      <c r="D18" s="74">
        <f t="shared" si="3"/>
        <v>9956205.0185714271</v>
      </c>
      <c r="F18" s="136">
        <v>45402</v>
      </c>
      <c r="G18" s="68">
        <v>7</v>
      </c>
      <c r="H18" s="113"/>
      <c r="I18" s="69">
        <f t="shared" si="4"/>
        <v>0</v>
      </c>
      <c r="J18" s="45"/>
      <c r="K18" s="68">
        <f t="shared" si="2"/>
        <v>0</v>
      </c>
      <c r="L18" s="69">
        <f>H18-C18</f>
        <v>-69693435.129999995</v>
      </c>
      <c r="M18" s="69"/>
    </row>
    <row r="19" spans="1:13" x14ac:dyDescent="0.3">
      <c r="A19" s="136">
        <v>44674</v>
      </c>
      <c r="B19" s="68">
        <v>6</v>
      </c>
      <c r="C19" s="74">
        <f>66343117.56+19105460.06</f>
        <v>85448577.620000005</v>
      </c>
      <c r="D19" s="74">
        <f t="shared" si="3"/>
        <v>14241429.603333334</v>
      </c>
      <c r="F19" s="136">
        <v>45409</v>
      </c>
      <c r="G19" s="68">
        <v>7</v>
      </c>
      <c r="H19" s="113"/>
      <c r="I19" s="69">
        <f t="shared" si="4"/>
        <v>0</v>
      </c>
      <c r="J19" s="45"/>
      <c r="K19" s="68">
        <f t="shared" si="2"/>
        <v>1</v>
      </c>
      <c r="L19" s="69">
        <f t="shared" si="2"/>
        <v>-85448577.620000005</v>
      </c>
      <c r="M19" s="69"/>
    </row>
    <row r="20" spans="1:13" x14ac:dyDescent="0.3">
      <c r="A20" s="136">
        <v>44681</v>
      </c>
      <c r="B20" s="68">
        <v>7</v>
      </c>
      <c r="C20" s="74">
        <v>92794180.290000007</v>
      </c>
      <c r="D20" s="74">
        <f t="shared" si="3"/>
        <v>13256311.470000001</v>
      </c>
      <c r="F20" s="136">
        <v>45412</v>
      </c>
      <c r="G20" s="68">
        <v>3</v>
      </c>
      <c r="H20" s="113"/>
      <c r="I20" s="69">
        <f t="shared" si="4"/>
        <v>0</v>
      </c>
      <c r="J20" s="45"/>
      <c r="K20" s="68">
        <f t="shared" si="2"/>
        <v>-4</v>
      </c>
      <c r="L20" s="69">
        <f t="shared" si="2"/>
        <v>-92794180.290000007</v>
      </c>
      <c r="M20" s="69"/>
    </row>
    <row r="21" spans="1:13" hidden="1" x14ac:dyDescent="0.3">
      <c r="A21" s="73"/>
      <c r="B21" s="68"/>
      <c r="C21" s="87"/>
      <c r="D21" s="74"/>
      <c r="F21" s="73"/>
      <c r="G21" s="68"/>
      <c r="H21" s="141"/>
      <c r="I21" s="69"/>
      <c r="J21" s="45"/>
      <c r="K21" s="68"/>
      <c r="L21" s="69"/>
      <c r="M21" s="69"/>
    </row>
    <row r="22" spans="1:13" ht="13.5" thickBot="1" x14ac:dyDescent="0.35">
      <c r="A22" s="75" t="s">
        <v>66</v>
      </c>
      <c r="B22" s="75">
        <f>SUM(B16:B20)</f>
        <v>29</v>
      </c>
      <c r="C22" s="88">
        <f>SUM(C16:C20)</f>
        <v>365185086.21000004</v>
      </c>
      <c r="D22" s="88">
        <f>C22/B22</f>
        <v>12592589.179655174</v>
      </c>
      <c r="F22" s="75" t="s">
        <v>66</v>
      </c>
      <c r="G22" s="75">
        <f>SUM(G16:G21)</f>
        <v>30</v>
      </c>
      <c r="H22" s="70">
        <f>SUM(H16:H20)</f>
        <v>0</v>
      </c>
      <c r="I22" s="70">
        <f>H22/G22</f>
        <v>0</v>
      </c>
      <c r="J22" s="46"/>
      <c r="K22" s="68">
        <f>SUM(K16:K21)</f>
        <v>1</v>
      </c>
      <c r="L22" s="70">
        <f>SUM(L16:L21)</f>
        <v>-365185086.21000004</v>
      </c>
      <c r="M22" s="70"/>
    </row>
    <row r="23" spans="1:13" ht="8.5" customHeight="1" thickTop="1" x14ac:dyDescent="0.3">
      <c r="A23" s="68"/>
      <c r="B23" s="68"/>
      <c r="C23" s="74"/>
      <c r="D23" s="74"/>
      <c r="F23" s="68"/>
      <c r="G23" s="68"/>
      <c r="H23" s="68"/>
      <c r="I23" s="68"/>
      <c r="K23" s="68"/>
      <c r="L23" s="68"/>
      <c r="M23" s="68"/>
    </row>
    <row r="24" spans="1:13" ht="13.5" thickBot="1" x14ac:dyDescent="0.35">
      <c r="A24" s="71" t="s">
        <v>67</v>
      </c>
      <c r="B24" s="71"/>
      <c r="C24" s="72">
        <f>C11+C22</f>
        <v>871396763.57000005</v>
      </c>
      <c r="D24" s="72"/>
      <c r="E24" s="41"/>
      <c r="F24" s="71" t="s">
        <v>67</v>
      </c>
      <c r="G24" s="71"/>
      <c r="H24" s="72">
        <f>H11+H22</f>
        <v>77192532</v>
      </c>
      <c r="I24" s="72"/>
      <c r="J24" s="46"/>
      <c r="K24" s="71"/>
      <c r="L24" s="72">
        <f>L22+L11</f>
        <v>-794204231.57000005</v>
      </c>
      <c r="M24" s="72"/>
    </row>
    <row r="25" spans="1:13" ht="13.5" thickTop="1" x14ac:dyDescent="0.3"/>
    <row r="29" spans="1:13" x14ac:dyDescent="0.3">
      <c r="H29" s="122"/>
    </row>
    <row r="30" spans="1:13" x14ac:dyDescent="0.3">
      <c r="C30" s="78"/>
      <c r="H30" s="78"/>
    </row>
    <row r="31" spans="1:13" x14ac:dyDescent="0.3">
      <c r="G31" s="142"/>
      <c r="H31" s="122"/>
    </row>
    <row r="32" spans="1:13" x14ac:dyDescent="0.3">
      <c r="G32" s="142"/>
      <c r="H32" s="122"/>
    </row>
    <row r="33" spans="3:9" x14ac:dyDescent="0.3">
      <c r="G33" s="142"/>
      <c r="H33" s="122"/>
    </row>
    <row r="34" spans="3:9" x14ac:dyDescent="0.3">
      <c r="H34" s="143"/>
    </row>
    <row r="35" spans="3:9" x14ac:dyDescent="0.3">
      <c r="H35" s="143"/>
    </row>
    <row r="36" spans="3:9" x14ac:dyDescent="0.3">
      <c r="C36" s="78"/>
      <c r="H36" s="143"/>
    </row>
    <row r="37" spans="3:9" x14ac:dyDescent="0.3">
      <c r="H37" s="143"/>
      <c r="I37" s="78"/>
    </row>
    <row r="38" spans="3:9" x14ac:dyDescent="0.3">
      <c r="H38" s="143"/>
    </row>
    <row r="39" spans="3:9" x14ac:dyDescent="0.3">
      <c r="H39" s="143"/>
    </row>
    <row r="40" spans="3:9" x14ac:dyDescent="0.3">
      <c r="H40" s="143"/>
    </row>
    <row r="41" spans="3:9" x14ac:dyDescent="0.3">
      <c r="H41" s="143"/>
    </row>
    <row r="42" spans="3:9" x14ac:dyDescent="0.3">
      <c r="H42" s="143"/>
    </row>
    <row r="43" spans="3:9" ht="13.5" thickBot="1" x14ac:dyDescent="0.35">
      <c r="G43" s="144"/>
      <c r="H43" s="145"/>
    </row>
    <row r="44" spans="3:9" ht="13.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C08C-C9ED-4C9C-BA11-BCE1D0F4E3E8}">
  <dimension ref="A1:I26"/>
  <sheetViews>
    <sheetView topLeftCell="A7" workbookViewId="0">
      <selection activeCell="E17" sqref="E17:G21"/>
    </sheetView>
  </sheetViews>
  <sheetFormatPr defaultRowHeight="14.5" x14ac:dyDescent="0.35"/>
  <cols>
    <col min="1" max="1" width="28.36328125" bestFit="1" customWidth="1"/>
    <col min="2" max="2" width="7.453125" customWidth="1"/>
    <col min="3" max="3" width="15.90625" bestFit="1" customWidth="1"/>
    <col min="4" max="4" width="4.36328125" customWidth="1"/>
    <col min="5" max="5" width="28.36328125" bestFit="1" customWidth="1"/>
    <col min="6" max="6" width="7.54296875" customWidth="1"/>
    <col min="7" max="7" width="15.90625" bestFit="1" customWidth="1"/>
    <col min="8" max="8" width="4.90625" customWidth="1"/>
    <col min="9" max="9" width="15.81640625" bestFit="1" customWidth="1"/>
    <col min="10" max="10" width="4.54296875" customWidth="1"/>
  </cols>
  <sheetData>
    <row r="1" spans="1:9" x14ac:dyDescent="0.35">
      <c r="A1" s="33" t="s">
        <v>73</v>
      </c>
    </row>
    <row r="2" spans="1:9" s="6" customFormat="1" ht="34.5" thickBot="1" x14ac:dyDescent="0.45">
      <c r="A2" s="7" t="s">
        <v>63</v>
      </c>
      <c r="B2" s="8" t="s">
        <v>64</v>
      </c>
      <c r="C2" s="9" t="s">
        <v>65</v>
      </c>
      <c r="E2" s="7" t="s">
        <v>63</v>
      </c>
      <c r="F2" s="8" t="s">
        <v>64</v>
      </c>
      <c r="G2" s="9" t="s">
        <v>65</v>
      </c>
      <c r="I2" s="18" t="s">
        <v>68</v>
      </c>
    </row>
    <row r="3" spans="1:9" ht="15" thickTop="1" x14ac:dyDescent="0.35">
      <c r="A3" s="10">
        <v>43743</v>
      </c>
      <c r="B3" s="11">
        <v>10</v>
      </c>
      <c r="C3" s="12">
        <v>43229320.399999999</v>
      </c>
      <c r="E3" s="10">
        <v>44107</v>
      </c>
      <c r="F3" s="11">
        <v>10</v>
      </c>
      <c r="G3" s="12">
        <v>51828741.32</v>
      </c>
      <c r="H3">
        <f>F3-B3</f>
        <v>0</v>
      </c>
      <c r="I3" s="19">
        <f>G3-C3</f>
        <v>8599420.9200000018</v>
      </c>
    </row>
    <row r="4" spans="1:9" x14ac:dyDescent="0.35">
      <c r="A4" s="10">
        <v>43744</v>
      </c>
      <c r="B4" s="11">
        <v>11</v>
      </c>
      <c r="C4" s="12">
        <v>37700663.520000003</v>
      </c>
      <c r="E4" s="10">
        <v>44108</v>
      </c>
      <c r="F4" s="11">
        <v>8</v>
      </c>
      <c r="G4" s="12">
        <v>37121972.289999999</v>
      </c>
      <c r="H4">
        <f t="shared" ref="H4:I11" si="0">F4-B4</f>
        <v>-3</v>
      </c>
      <c r="I4" s="19">
        <f t="shared" si="0"/>
        <v>-578691.23000000417</v>
      </c>
    </row>
    <row r="5" spans="1:9" x14ac:dyDescent="0.35">
      <c r="A5" s="10">
        <v>43750</v>
      </c>
      <c r="B5" s="11">
        <v>12</v>
      </c>
      <c r="C5" s="12">
        <v>46408741.189999998</v>
      </c>
      <c r="E5" s="10">
        <v>44114</v>
      </c>
      <c r="F5" s="11">
        <v>10</v>
      </c>
      <c r="G5" s="12">
        <v>50968793.780000001</v>
      </c>
      <c r="H5">
        <f t="shared" si="0"/>
        <v>-2</v>
      </c>
      <c r="I5" s="19">
        <f>G5-C5</f>
        <v>4560052.5900000036</v>
      </c>
    </row>
    <row r="6" spans="1:9" x14ac:dyDescent="0.35">
      <c r="A6" s="10">
        <v>43757</v>
      </c>
      <c r="B6" s="11">
        <v>10</v>
      </c>
      <c r="C6" s="12">
        <v>48064183.530000001</v>
      </c>
      <c r="E6" s="10">
        <v>44115</v>
      </c>
      <c r="F6" s="11">
        <v>9</v>
      </c>
      <c r="G6" s="12">
        <v>38706412.240000002</v>
      </c>
      <c r="H6">
        <f t="shared" si="0"/>
        <v>-1</v>
      </c>
      <c r="I6" s="19">
        <f t="shared" si="0"/>
        <v>-9357771.2899999991</v>
      </c>
    </row>
    <row r="7" spans="1:9" x14ac:dyDescent="0.35">
      <c r="A7" s="10">
        <v>43759</v>
      </c>
      <c r="B7" s="11">
        <v>10</v>
      </c>
      <c r="C7" s="12">
        <v>40175369.979999997</v>
      </c>
      <c r="E7" s="10">
        <v>44121</v>
      </c>
      <c r="F7" s="11">
        <v>10</v>
      </c>
      <c r="G7" s="12">
        <v>56307083.149999999</v>
      </c>
      <c r="H7">
        <f t="shared" si="0"/>
        <v>0</v>
      </c>
      <c r="I7" s="19">
        <f t="shared" si="0"/>
        <v>16131713.170000002</v>
      </c>
    </row>
    <row r="8" spans="1:9" x14ac:dyDescent="0.35">
      <c r="A8" s="10">
        <v>43764</v>
      </c>
      <c r="B8" s="11">
        <v>10</v>
      </c>
      <c r="C8" s="12">
        <v>40709671.090000004</v>
      </c>
      <c r="E8" s="10">
        <v>44127</v>
      </c>
      <c r="F8" s="11">
        <v>8</v>
      </c>
      <c r="G8" s="12">
        <v>37778581.329999998</v>
      </c>
      <c r="H8">
        <f t="shared" si="0"/>
        <v>-2</v>
      </c>
      <c r="I8" s="19">
        <f t="shared" si="0"/>
        <v>-2931089.7600000054</v>
      </c>
    </row>
    <row r="9" spans="1:9" x14ac:dyDescent="0.35">
      <c r="A9" s="10"/>
      <c r="B9" s="11"/>
      <c r="C9" s="12"/>
      <c r="E9" s="10">
        <v>44128</v>
      </c>
      <c r="F9" s="11">
        <v>9</v>
      </c>
      <c r="G9" s="12">
        <v>46485713.340000004</v>
      </c>
      <c r="H9">
        <f t="shared" si="0"/>
        <v>9</v>
      </c>
      <c r="I9" s="19">
        <f t="shared" si="0"/>
        <v>46485713.340000004</v>
      </c>
    </row>
    <row r="10" spans="1:9" x14ac:dyDescent="0.35">
      <c r="A10" s="10"/>
      <c r="B10" s="11"/>
      <c r="C10" s="12"/>
      <c r="E10" s="10">
        <v>44135</v>
      </c>
      <c r="F10" s="11">
        <v>10</v>
      </c>
      <c r="G10" s="12">
        <v>66087437.259999998</v>
      </c>
      <c r="H10">
        <f t="shared" si="0"/>
        <v>10</v>
      </c>
      <c r="I10" s="19">
        <f t="shared" si="0"/>
        <v>66087437.259999998</v>
      </c>
    </row>
    <row r="11" spans="1:9" ht="15" thickBot="1" x14ac:dyDescent="0.4">
      <c r="A11" s="13" t="s">
        <v>66</v>
      </c>
      <c r="B11" s="14">
        <f>SUM(B3:B10)</f>
        <v>63</v>
      </c>
      <c r="C11" s="15">
        <f>SUM(C3:C10)</f>
        <v>256287949.70999998</v>
      </c>
      <c r="E11" s="13" t="s">
        <v>66</v>
      </c>
      <c r="F11" s="14">
        <f>SUM(F3:F10)</f>
        <v>74</v>
      </c>
      <c r="G11" s="15">
        <f>SUM(G3:G10)</f>
        <v>385284734.71000004</v>
      </c>
      <c r="H11">
        <f t="shared" si="0"/>
        <v>11</v>
      </c>
      <c r="I11" s="20">
        <f>SUM(I3:I10)</f>
        <v>128996785</v>
      </c>
    </row>
    <row r="12" spans="1:9" ht="15" thickTop="1" x14ac:dyDescent="0.35">
      <c r="A12" s="16"/>
      <c r="C12" s="17"/>
      <c r="E12" s="16"/>
      <c r="G12" s="17"/>
      <c r="I12" s="21"/>
    </row>
    <row r="13" spans="1:9" x14ac:dyDescent="0.35">
      <c r="A13" s="30" t="s">
        <v>72</v>
      </c>
      <c r="B13" s="31">
        <f>SUM(B3:B10)/COUNT(B3:B10)</f>
        <v>10.5</v>
      </c>
      <c r="C13" s="32">
        <f>SUM(C3:C10)/COUNT(C3:C10)</f>
        <v>42714658.284999996</v>
      </c>
      <c r="E13" s="30"/>
      <c r="F13" s="31">
        <f>SUM(F3:F10)/COUNT(F3:F10)</f>
        <v>9.25</v>
      </c>
      <c r="G13" s="32">
        <f>SUM(G3:G10)/COUNT(G3:G10)</f>
        <v>48160591.838750005</v>
      </c>
      <c r="H13" s="31">
        <f>SUM(H3:H10)/COUNT(H3:H10)</f>
        <v>1.375</v>
      </c>
      <c r="I13" s="32">
        <f>SUM(I3:I10)/COUNT(I3:I10)</f>
        <v>16124598.125</v>
      </c>
    </row>
    <row r="15" spans="1:9" x14ac:dyDescent="0.35">
      <c r="A15" s="33" t="s">
        <v>71</v>
      </c>
    </row>
    <row r="16" spans="1:9" ht="15" thickBot="1" x14ac:dyDescent="0.4">
      <c r="A16" s="25" t="s">
        <v>70</v>
      </c>
      <c r="B16" s="25" t="s">
        <v>69</v>
      </c>
      <c r="C16" s="25" t="s">
        <v>65</v>
      </c>
      <c r="E16" s="25" t="s">
        <v>70</v>
      </c>
      <c r="F16" s="25" t="s">
        <v>69</v>
      </c>
      <c r="G16" s="25" t="s">
        <v>65</v>
      </c>
      <c r="H16" s="25"/>
      <c r="I16" s="27" t="s">
        <v>68</v>
      </c>
    </row>
    <row r="17" spans="1:9" x14ac:dyDescent="0.35">
      <c r="A17" s="23">
        <v>43743</v>
      </c>
      <c r="B17">
        <v>5</v>
      </c>
      <c r="C17" s="22">
        <v>45069825.869999997</v>
      </c>
      <c r="E17" s="23">
        <v>44107</v>
      </c>
      <c r="F17">
        <v>3</v>
      </c>
      <c r="G17" s="22">
        <v>31851333.079999998</v>
      </c>
      <c r="H17">
        <f>F17-B17</f>
        <v>-2</v>
      </c>
      <c r="I17" s="26">
        <f>G17-C17</f>
        <v>-13218492.789999999</v>
      </c>
    </row>
    <row r="18" spans="1:9" x14ac:dyDescent="0.35">
      <c r="A18" s="23">
        <v>43750</v>
      </c>
      <c r="B18">
        <v>7</v>
      </c>
      <c r="C18" s="22">
        <v>66783762.869999997</v>
      </c>
      <c r="E18" s="23">
        <v>44114</v>
      </c>
      <c r="F18">
        <v>7</v>
      </c>
      <c r="G18" s="22">
        <f>50032709.7+12633938.7</f>
        <v>62666648.400000006</v>
      </c>
      <c r="H18">
        <f t="shared" ref="H18:I21" si="1">F18-B18</f>
        <v>0</v>
      </c>
      <c r="I18" s="26">
        <f t="shared" si="1"/>
        <v>-4117114.4699999914</v>
      </c>
    </row>
    <row r="19" spans="1:9" x14ac:dyDescent="0.35">
      <c r="A19" s="23">
        <v>43757</v>
      </c>
      <c r="B19">
        <v>7</v>
      </c>
      <c r="C19" s="22">
        <v>64767187.409999996</v>
      </c>
      <c r="E19" s="23">
        <v>44121</v>
      </c>
      <c r="F19">
        <v>7</v>
      </c>
      <c r="G19" s="22">
        <f>152302186.29-95013495.39</f>
        <v>57288690.899999991</v>
      </c>
      <c r="H19">
        <f t="shared" si="1"/>
        <v>0</v>
      </c>
      <c r="I19" s="26">
        <f t="shared" si="1"/>
        <v>-7478496.5100000054</v>
      </c>
    </row>
    <row r="20" spans="1:9" x14ac:dyDescent="0.35">
      <c r="A20" s="23">
        <v>43764</v>
      </c>
      <c r="B20">
        <v>7</v>
      </c>
      <c r="C20" s="22">
        <v>66735339.710000001</v>
      </c>
      <c r="E20" s="23">
        <v>44128</v>
      </c>
      <c r="F20">
        <v>7</v>
      </c>
      <c r="G20" s="22">
        <f>141270873.07-84264294.67</f>
        <v>57006578.399999991</v>
      </c>
      <c r="H20">
        <f t="shared" si="1"/>
        <v>0</v>
      </c>
      <c r="I20" s="26">
        <f t="shared" si="1"/>
        <v>-9728761.3100000098</v>
      </c>
    </row>
    <row r="21" spans="1:9" x14ac:dyDescent="0.35">
      <c r="A21" s="23">
        <v>43769</v>
      </c>
      <c r="B21">
        <v>5</v>
      </c>
      <c r="C21" s="22">
        <v>38973838.82</v>
      </c>
      <c r="E21" s="23">
        <v>44135</v>
      </c>
      <c r="F21">
        <v>7</v>
      </c>
      <c r="G21" s="22">
        <v>72020876.370000005</v>
      </c>
      <c r="H21">
        <f t="shared" si="1"/>
        <v>2</v>
      </c>
      <c r="I21" s="26">
        <f t="shared" si="1"/>
        <v>33047037.550000004</v>
      </c>
    </row>
    <row r="22" spans="1:9" x14ac:dyDescent="0.35">
      <c r="A22" s="23"/>
      <c r="C22" s="22"/>
      <c r="E22" s="23"/>
      <c r="G22" s="22"/>
      <c r="I22" s="26"/>
    </row>
    <row r="23" spans="1:9" ht="15" thickBot="1" x14ac:dyDescent="0.4">
      <c r="A23" s="4" t="s">
        <v>66</v>
      </c>
      <c r="B23" s="4">
        <f>SUM(B17:B21)</f>
        <v>31</v>
      </c>
      <c r="C23" s="24">
        <f>SUM(C17:C21)</f>
        <v>282329954.68000001</v>
      </c>
      <c r="E23" s="4" t="s">
        <v>66</v>
      </c>
      <c r="F23" s="4">
        <f>SUM(F17:F22)</f>
        <v>31</v>
      </c>
      <c r="G23" s="24">
        <f>SUM(G17:G22)</f>
        <v>280834127.14999998</v>
      </c>
      <c r="I23" s="24">
        <f>SUM(I17:I21)</f>
        <v>-1495827.5300000012</v>
      </c>
    </row>
    <row r="24" spans="1:9" ht="15" thickTop="1" x14ac:dyDescent="0.35">
      <c r="C24" s="22"/>
    </row>
    <row r="25" spans="1:9" ht="15" thickBot="1" x14ac:dyDescent="0.4">
      <c r="A25" s="28" t="s">
        <v>67</v>
      </c>
      <c r="B25" s="28"/>
      <c r="C25" s="29">
        <f>C11+C23</f>
        <v>538617904.38999999</v>
      </c>
      <c r="D25" s="28"/>
      <c r="E25" s="28" t="s">
        <v>67</v>
      </c>
      <c r="F25" s="28"/>
      <c r="G25" s="29">
        <f>G23+G11</f>
        <v>666118861.86000001</v>
      </c>
      <c r="H25" s="28"/>
      <c r="I25" s="29">
        <f>I23+I11</f>
        <v>127500957.47</v>
      </c>
    </row>
    <row r="26" spans="1:9" ht="15" thickTop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E288-F86C-4C3C-97D2-175F89E8EBC7}">
  <dimension ref="A1:M34"/>
  <sheetViews>
    <sheetView topLeftCell="A7" workbookViewId="0">
      <selection activeCell="F17" sqref="F17:H21"/>
    </sheetView>
  </sheetViews>
  <sheetFormatPr defaultRowHeight="13" x14ac:dyDescent="0.3"/>
  <cols>
    <col min="1" max="1" width="26" style="35" customWidth="1"/>
    <col min="2" max="2" width="5.90625" style="35" customWidth="1"/>
    <col min="3" max="3" width="15.90625" style="35" bestFit="1" customWidth="1"/>
    <col min="4" max="4" width="13.81640625" style="35" customWidth="1"/>
    <col min="5" max="5" width="2.81640625" style="35" customWidth="1"/>
    <col min="6" max="6" width="24.81640625" style="35" customWidth="1"/>
    <col min="7" max="7" width="5.6328125" style="35" customWidth="1"/>
    <col min="8" max="8" width="14.26953125" style="35" bestFit="1" customWidth="1"/>
    <col min="9" max="9" width="13.36328125" style="35" bestFit="1" customWidth="1"/>
    <col min="10" max="10" width="3.36328125" style="47" customWidth="1"/>
    <col min="11" max="11" width="5.26953125" style="35" customWidth="1"/>
    <col min="12" max="12" width="14.54296875" style="35" customWidth="1"/>
    <col min="13" max="13" width="13.08984375" style="35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3">
      <c r="A3" s="50">
        <v>43771</v>
      </c>
      <c r="B3" s="49">
        <v>11</v>
      </c>
      <c r="C3" s="51">
        <v>45484326</v>
      </c>
      <c r="D3" s="51">
        <v>8600000</v>
      </c>
      <c r="F3" s="50">
        <v>44136</v>
      </c>
      <c r="G3" s="49">
        <v>9</v>
      </c>
      <c r="H3" s="51">
        <v>45965964.359999999</v>
      </c>
      <c r="I3" s="42">
        <v>9290000</v>
      </c>
      <c r="J3" s="45"/>
      <c r="K3" s="49">
        <f t="shared" ref="K3:L9" si="0">G3-B3</f>
        <v>-2</v>
      </c>
      <c r="L3" s="38">
        <f t="shared" si="0"/>
        <v>481638.3599999994</v>
      </c>
      <c r="M3" s="38">
        <f>D3-I3</f>
        <v>-690000</v>
      </c>
    </row>
    <row r="4" spans="1:13" x14ac:dyDescent="0.3">
      <c r="A4" s="50">
        <v>43777</v>
      </c>
      <c r="B4" s="49">
        <v>11</v>
      </c>
      <c r="C4" s="51">
        <v>42811782.93</v>
      </c>
      <c r="D4" s="51">
        <v>10190000</v>
      </c>
      <c r="F4" s="50">
        <v>44142</v>
      </c>
      <c r="G4" s="49">
        <v>11</v>
      </c>
      <c r="H4" s="51">
        <v>53006088.210000001</v>
      </c>
      <c r="I4" s="38">
        <v>8440000</v>
      </c>
      <c r="J4" s="45"/>
      <c r="K4" s="49">
        <f t="shared" si="0"/>
        <v>0</v>
      </c>
      <c r="L4" s="38">
        <f t="shared" si="0"/>
        <v>10194305.280000001</v>
      </c>
      <c r="M4" s="38">
        <f t="shared" ref="M4:M9" si="1">D4-I4</f>
        <v>1750000</v>
      </c>
    </row>
    <row r="5" spans="1:13" x14ac:dyDescent="0.3">
      <c r="A5" s="50">
        <v>43778</v>
      </c>
      <c r="B5" s="49">
        <v>13</v>
      </c>
      <c r="C5" s="51">
        <v>56553769.789999999</v>
      </c>
      <c r="D5" s="51">
        <v>30100000</v>
      </c>
      <c r="F5" s="50">
        <v>44148</v>
      </c>
      <c r="G5" s="49">
        <v>9</v>
      </c>
      <c r="H5" s="51">
        <v>43831655.93</v>
      </c>
      <c r="I5" s="38">
        <v>6820000</v>
      </c>
      <c r="J5" s="45"/>
      <c r="K5" s="49">
        <f t="shared" si="0"/>
        <v>-4</v>
      </c>
      <c r="L5" s="38">
        <f t="shared" si="0"/>
        <v>-12722113.859999999</v>
      </c>
      <c r="M5" s="38">
        <f t="shared" si="1"/>
        <v>23280000</v>
      </c>
    </row>
    <row r="6" spans="1:13" x14ac:dyDescent="0.3">
      <c r="A6" s="50">
        <v>43785</v>
      </c>
      <c r="B6" s="49">
        <v>9</v>
      </c>
      <c r="C6" s="51">
        <v>42135062.109999999</v>
      </c>
      <c r="D6" s="51">
        <v>7500000</v>
      </c>
      <c r="F6" s="50">
        <v>44149</v>
      </c>
      <c r="G6" s="49">
        <v>10</v>
      </c>
      <c r="H6" s="51">
        <v>51276166</v>
      </c>
      <c r="I6" s="38">
        <f>870000+980000+690000+620000+650000+500000+930000+680000+2000000+800000</f>
        <v>8720000</v>
      </c>
      <c r="J6" s="45"/>
      <c r="K6" s="49">
        <f t="shared" si="0"/>
        <v>1</v>
      </c>
      <c r="L6" s="38">
        <f t="shared" si="0"/>
        <v>9141103.8900000006</v>
      </c>
      <c r="M6" s="38">
        <f t="shared" si="1"/>
        <v>-1220000</v>
      </c>
    </row>
    <row r="7" spans="1:13" x14ac:dyDescent="0.3">
      <c r="A7" s="50">
        <v>43792</v>
      </c>
      <c r="B7" s="49">
        <v>10</v>
      </c>
      <c r="C7" s="51">
        <v>51447778.859999999</v>
      </c>
      <c r="D7" s="51">
        <v>7700000</v>
      </c>
      <c r="F7" s="50">
        <v>44156</v>
      </c>
      <c r="G7" s="49">
        <v>11</v>
      </c>
      <c r="H7" s="51">
        <v>58213648.270000003</v>
      </c>
      <c r="I7" s="38">
        <v>8850000</v>
      </c>
      <c r="J7" s="45"/>
      <c r="K7" s="49">
        <f t="shared" si="0"/>
        <v>1</v>
      </c>
      <c r="L7" s="38">
        <f t="shared" si="0"/>
        <v>6765869.4100000039</v>
      </c>
      <c r="M7" s="38">
        <f t="shared" si="1"/>
        <v>-1150000</v>
      </c>
    </row>
    <row r="8" spans="1:13" x14ac:dyDescent="0.3">
      <c r="A8" s="50">
        <v>43796</v>
      </c>
      <c r="B8" s="49">
        <v>11</v>
      </c>
      <c r="C8" s="51">
        <v>36649589.159999996</v>
      </c>
      <c r="D8" s="51">
        <v>8570000</v>
      </c>
      <c r="F8" s="50">
        <v>44163</v>
      </c>
      <c r="G8" s="49">
        <v>10</v>
      </c>
      <c r="H8" s="51">
        <v>57246122.609999999</v>
      </c>
      <c r="I8" s="38">
        <v>8320000</v>
      </c>
      <c r="J8" s="45"/>
      <c r="K8" s="49">
        <f t="shared" si="0"/>
        <v>-1</v>
      </c>
      <c r="L8" s="38">
        <f t="shared" si="0"/>
        <v>20596533.450000003</v>
      </c>
      <c r="M8" s="38">
        <f t="shared" si="1"/>
        <v>250000</v>
      </c>
    </row>
    <row r="9" spans="1:13" x14ac:dyDescent="0.3">
      <c r="A9" s="50">
        <v>43799</v>
      </c>
      <c r="B9" s="49">
        <v>10</v>
      </c>
      <c r="C9" s="51">
        <v>48045274.939999998</v>
      </c>
      <c r="D9" s="51">
        <v>11040000</v>
      </c>
      <c r="F9" s="50">
        <v>44164</v>
      </c>
      <c r="G9" s="49">
        <v>10</v>
      </c>
      <c r="H9" s="51">
        <v>52195966</v>
      </c>
      <c r="I9" s="38">
        <v>10560000</v>
      </c>
      <c r="J9" s="45"/>
      <c r="K9" s="49">
        <f t="shared" si="0"/>
        <v>0</v>
      </c>
      <c r="L9" s="38">
        <f t="shared" si="0"/>
        <v>4150691.0600000024</v>
      </c>
      <c r="M9" s="38">
        <f t="shared" si="1"/>
        <v>480000</v>
      </c>
    </row>
    <row r="10" spans="1:13" x14ac:dyDescent="0.3">
      <c r="A10" s="50"/>
      <c r="B10" s="49"/>
      <c r="C10" s="51"/>
      <c r="D10" s="51"/>
      <c r="F10" s="50"/>
      <c r="G10" s="49"/>
      <c r="H10" s="51"/>
      <c r="I10" s="43"/>
      <c r="J10" s="45"/>
      <c r="K10" s="49"/>
      <c r="L10" s="38"/>
      <c r="M10" s="38"/>
    </row>
    <row r="11" spans="1:13" ht="15" thickBot="1" x14ac:dyDescent="0.4">
      <c r="A11" s="52" t="s">
        <v>66</v>
      </c>
      <c r="B11" s="52">
        <f>SUM(B3:B10)</f>
        <v>75</v>
      </c>
      <c r="C11" s="39">
        <f>SUM(C3:C10)</f>
        <v>323127583.79000002</v>
      </c>
      <c r="D11" s="54">
        <f>SUM(D3:D10)</f>
        <v>83700000</v>
      </c>
      <c r="F11" s="52" t="s">
        <v>66</v>
      </c>
      <c r="G11" s="52">
        <f>SUM(G3:G10)</f>
        <v>70</v>
      </c>
      <c r="H11" s="39">
        <f>SUM(H3:H10)</f>
        <v>361735611.38</v>
      </c>
      <c r="I11" s="39">
        <f>SUM(I3:I10)</f>
        <v>61000000</v>
      </c>
      <c r="J11" s="46"/>
      <c r="K11" s="14">
        <f>G11-B11</f>
        <v>-5</v>
      </c>
      <c r="L11" s="39">
        <f>SUM(L3:L10)</f>
        <v>38608027.590000011</v>
      </c>
      <c r="M11" s="39">
        <f>SUM(M3:M10)</f>
        <v>22700000</v>
      </c>
    </row>
    <row r="12" spans="1:13" ht="13.5" thickTop="1" x14ac:dyDescent="0.3">
      <c r="A12" s="49" t="s">
        <v>75</v>
      </c>
      <c r="B12" s="55"/>
      <c r="C12" s="40"/>
      <c r="D12" s="40"/>
      <c r="F12" s="58"/>
      <c r="G12" s="56"/>
      <c r="H12" s="57"/>
      <c r="I12" s="57">
        <f>1550000</f>
        <v>1550000</v>
      </c>
      <c r="J12" s="46"/>
      <c r="K12" s="49"/>
      <c r="L12" s="40"/>
      <c r="M12" s="40"/>
    </row>
    <row r="13" spans="1:13" x14ac:dyDescent="0.3">
      <c r="A13" s="65" t="s">
        <v>72</v>
      </c>
      <c r="B13" s="62">
        <f>SUM(B3:B10)/COUNT(B3:B10)</f>
        <v>10.714285714285714</v>
      </c>
      <c r="C13" s="63">
        <f>SUM(C3:C10)/COUNT(C3:C10)</f>
        <v>46161083.398571432</v>
      </c>
      <c r="D13" s="63">
        <f>SUM(D3:D10)/COUNT(D3:D10)</f>
        <v>11957142.857142856</v>
      </c>
      <c r="F13" s="59"/>
      <c r="G13" s="60">
        <f>SUM(G3:G10)/COUNT(G3:G10)</f>
        <v>10</v>
      </c>
      <c r="H13" s="61">
        <f>SUM(H3:H10)/COUNT(H3:H10)</f>
        <v>51676515.911428571</v>
      </c>
      <c r="I13" s="61">
        <f>SUM(I3:I10)/COUNT(I3:I10)</f>
        <v>8714285.7142857146</v>
      </c>
      <c r="J13" s="48"/>
      <c r="K13" s="62">
        <f>SUM(K3:K10)/COUNT(K3:K10)</f>
        <v>-0.7142857142857143</v>
      </c>
      <c r="L13" s="63">
        <f>SUM(L3:L10)/COUNT(L3:L10)</f>
        <v>5515432.5128571447</v>
      </c>
      <c r="M13" s="63">
        <f>SUM(M3:M10)/COUNT(M3:M10)</f>
        <v>3242857.1428571427</v>
      </c>
    </row>
    <row r="15" spans="1:13" x14ac:dyDescent="0.3">
      <c r="A15" s="34" t="s">
        <v>71</v>
      </c>
    </row>
    <row r="16" spans="1:13" ht="29.5" thickBot="1" x14ac:dyDescent="0.4">
      <c r="A16" s="76" t="s">
        <v>70</v>
      </c>
      <c r="B16" s="76" t="s">
        <v>69</v>
      </c>
      <c r="C16" s="76" t="s">
        <v>65</v>
      </c>
      <c r="D16" s="76"/>
      <c r="F16" s="76" t="s">
        <v>70</v>
      </c>
      <c r="G16" s="76" t="s">
        <v>69</v>
      </c>
      <c r="H16" s="76" t="s">
        <v>65</v>
      </c>
      <c r="I16" s="76"/>
      <c r="J16" s="77"/>
      <c r="K16" s="66" t="s">
        <v>78</v>
      </c>
      <c r="L16" s="67" t="s">
        <v>76</v>
      </c>
      <c r="M16" s="67" t="s">
        <v>77</v>
      </c>
    </row>
    <row r="17" spans="1:13" x14ac:dyDescent="0.3">
      <c r="A17" s="73">
        <v>43771</v>
      </c>
      <c r="B17" s="68">
        <v>2</v>
      </c>
      <c r="C17" s="74">
        <v>29820601.530000001</v>
      </c>
      <c r="D17" s="74"/>
      <c r="F17" s="73">
        <v>44142</v>
      </c>
      <c r="G17" s="68">
        <v>7</v>
      </c>
      <c r="H17" s="74">
        <v>74056687.819999993</v>
      </c>
      <c r="I17" s="69"/>
      <c r="J17" s="45"/>
      <c r="K17" s="68">
        <f t="shared" ref="K17:L21" si="2">G17-B17</f>
        <v>5</v>
      </c>
      <c r="L17" s="69">
        <f t="shared" si="2"/>
        <v>44236086.289999992</v>
      </c>
      <c r="M17" s="69"/>
    </row>
    <row r="18" spans="1:13" x14ac:dyDescent="0.3">
      <c r="A18" s="73">
        <v>43778</v>
      </c>
      <c r="B18" s="68">
        <v>7</v>
      </c>
      <c r="C18" s="74">
        <v>66262892.829999998</v>
      </c>
      <c r="D18" s="74"/>
      <c r="F18" s="73">
        <v>44149</v>
      </c>
      <c r="G18" s="68">
        <v>7</v>
      </c>
      <c r="H18" s="74">
        <v>64352483.68</v>
      </c>
      <c r="I18" s="69"/>
      <c r="J18" s="45"/>
      <c r="K18" s="68">
        <f t="shared" si="2"/>
        <v>0</v>
      </c>
      <c r="L18" s="69">
        <f t="shared" si="2"/>
        <v>-1910409.1499999985</v>
      </c>
      <c r="M18" s="69"/>
    </row>
    <row r="19" spans="1:13" x14ac:dyDescent="0.3">
      <c r="A19" s="73">
        <v>43785</v>
      </c>
      <c r="B19" s="68">
        <v>7</v>
      </c>
      <c r="C19" s="74">
        <v>62276692.340000004</v>
      </c>
      <c r="D19" s="74"/>
      <c r="F19" s="73">
        <v>44156</v>
      </c>
      <c r="G19" s="68">
        <v>7</v>
      </c>
      <c r="H19" s="74">
        <v>65264851.299999997</v>
      </c>
      <c r="I19" s="69"/>
      <c r="J19" s="45"/>
      <c r="K19" s="68">
        <f t="shared" si="2"/>
        <v>0</v>
      </c>
      <c r="L19" s="69">
        <f t="shared" si="2"/>
        <v>2988158.9599999934</v>
      </c>
      <c r="M19" s="69"/>
    </row>
    <row r="20" spans="1:13" x14ac:dyDescent="0.3">
      <c r="A20" s="73">
        <v>43792</v>
      </c>
      <c r="B20" s="68">
        <v>7</v>
      </c>
      <c r="C20" s="74">
        <v>64067283.030000001</v>
      </c>
      <c r="D20" s="74"/>
      <c r="F20" s="73">
        <v>44163</v>
      </c>
      <c r="G20" s="68">
        <v>7</v>
      </c>
      <c r="H20" s="74">
        <v>69994307.650000006</v>
      </c>
      <c r="I20" s="69"/>
      <c r="J20" s="45"/>
      <c r="K20" s="68">
        <f t="shared" si="2"/>
        <v>0</v>
      </c>
      <c r="L20" s="69">
        <f t="shared" si="2"/>
        <v>5927024.6200000048</v>
      </c>
      <c r="M20" s="69"/>
    </row>
    <row r="21" spans="1:13" x14ac:dyDescent="0.3">
      <c r="A21" s="73">
        <v>43799</v>
      </c>
      <c r="B21" s="68">
        <v>7</v>
      </c>
      <c r="C21" s="74">
        <v>65196212.960000001</v>
      </c>
      <c r="D21" s="74"/>
      <c r="F21" s="73">
        <v>44165</v>
      </c>
      <c r="G21" s="68">
        <v>2</v>
      </c>
      <c r="H21" s="74">
        <f>11000000+6500000</f>
        <v>17500000</v>
      </c>
      <c r="I21" s="69"/>
      <c r="J21" s="45"/>
      <c r="K21" s="68">
        <f t="shared" si="2"/>
        <v>-5</v>
      </c>
      <c r="L21" s="69">
        <f t="shared" si="2"/>
        <v>-47696212.960000001</v>
      </c>
      <c r="M21" s="69"/>
    </row>
    <row r="22" spans="1:13" x14ac:dyDescent="0.3">
      <c r="A22" s="73"/>
      <c r="B22" s="68"/>
      <c r="C22" s="74"/>
      <c r="D22" s="74"/>
      <c r="F22" s="73"/>
      <c r="G22" s="68"/>
      <c r="H22" s="74"/>
      <c r="I22" s="69"/>
      <c r="J22" s="45"/>
      <c r="K22" s="68"/>
      <c r="L22" s="69"/>
      <c r="M22" s="69"/>
    </row>
    <row r="23" spans="1:13" ht="13.5" thickBot="1" x14ac:dyDescent="0.35">
      <c r="A23" s="75" t="s">
        <v>66</v>
      </c>
      <c r="B23" s="75">
        <f>SUM(B17:B21)</f>
        <v>30</v>
      </c>
      <c r="C23" s="70">
        <f>SUM(C17:C21)</f>
        <v>287623682.69</v>
      </c>
      <c r="D23" s="70"/>
      <c r="F23" s="75" t="s">
        <v>66</v>
      </c>
      <c r="G23" s="75">
        <f>SUM(G17:G22)</f>
        <v>30</v>
      </c>
      <c r="H23" s="70">
        <f>SUM(H17:H22)</f>
        <v>291168330.45000005</v>
      </c>
      <c r="I23" s="70"/>
      <c r="J23" s="46"/>
      <c r="K23" s="68">
        <f>SUM(K17:K22)</f>
        <v>0</v>
      </c>
      <c r="L23" s="70">
        <f>SUM(L17:L21)</f>
        <v>3544647.7599999905</v>
      </c>
      <c r="M23" s="70"/>
    </row>
    <row r="24" spans="1:13" ht="13.5" thickTop="1" x14ac:dyDescent="0.3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35">
      <c r="A25" s="71" t="s">
        <v>67</v>
      </c>
      <c r="B25" s="71"/>
      <c r="C25" s="72">
        <f>C11+C23</f>
        <v>610751266.48000002</v>
      </c>
      <c r="D25" s="72"/>
      <c r="E25" s="41"/>
      <c r="F25" s="71" t="s">
        <v>67</v>
      </c>
      <c r="G25" s="71"/>
      <c r="H25" s="72">
        <f>H23+H11</f>
        <v>652903941.83000004</v>
      </c>
      <c r="I25" s="72"/>
      <c r="J25" s="46"/>
      <c r="K25" s="71"/>
      <c r="L25" s="72">
        <f>L23+L11</f>
        <v>42152675.350000001</v>
      </c>
      <c r="M25" s="72"/>
    </row>
    <row r="26" spans="1:13" ht="13.5" thickTop="1" x14ac:dyDescent="0.3"/>
    <row r="29" spans="1:13" x14ac:dyDescent="0.3">
      <c r="L29" s="35">
        <f>145000000</f>
        <v>145000000</v>
      </c>
    </row>
    <row r="30" spans="1:13" x14ac:dyDescent="0.3">
      <c r="L30" s="35">
        <v>50000000</v>
      </c>
    </row>
    <row r="31" spans="1:13" x14ac:dyDescent="0.3">
      <c r="L31" s="35">
        <v>60000000</v>
      </c>
    </row>
    <row r="32" spans="1:13" x14ac:dyDescent="0.3">
      <c r="L32" s="35">
        <v>15000000</v>
      </c>
    </row>
    <row r="34" spans="12:12" x14ac:dyDescent="0.3">
      <c r="L34" s="35">
        <f>SUM(L29:L32)</f>
        <v>270000000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6DE2-4990-430E-9CD6-D020FF814829}">
  <dimension ref="A1:M27"/>
  <sheetViews>
    <sheetView topLeftCell="A8" workbookViewId="0">
      <selection activeCell="I22" sqref="I22"/>
    </sheetView>
  </sheetViews>
  <sheetFormatPr defaultRowHeight="13" x14ac:dyDescent="0.3"/>
  <cols>
    <col min="1" max="1" width="26" style="35" customWidth="1"/>
    <col min="2" max="2" width="5.90625" style="35" customWidth="1"/>
    <col min="3" max="3" width="15.90625" style="35" bestFit="1" customWidth="1"/>
    <col min="4" max="4" width="13.81640625" style="35" customWidth="1"/>
    <col min="5" max="5" width="2.81640625" style="35" customWidth="1"/>
    <col min="6" max="6" width="26.08984375" style="35" customWidth="1"/>
    <col min="7" max="7" width="6.54296875" style="35" bestFit="1" customWidth="1"/>
    <col min="8" max="8" width="15.6328125" style="35" bestFit="1" customWidth="1"/>
    <col min="9" max="9" width="13.36328125" style="35" bestFit="1" customWidth="1"/>
    <col min="10" max="10" width="3.36328125" style="47" customWidth="1"/>
    <col min="11" max="11" width="5.26953125" style="35" customWidth="1"/>
    <col min="12" max="12" width="14.54296875" style="35" customWidth="1"/>
    <col min="13" max="13" width="13.08984375" style="35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3">
      <c r="A3" s="50">
        <v>43805</v>
      </c>
      <c r="B3" s="49">
        <v>10</v>
      </c>
      <c r="C3" s="51">
        <v>36425185.990000002</v>
      </c>
      <c r="D3" s="51">
        <v>8600000</v>
      </c>
      <c r="F3" s="50">
        <v>44170</v>
      </c>
      <c r="G3" s="49">
        <v>9</v>
      </c>
      <c r="H3" s="51">
        <v>54234481.119999997</v>
      </c>
      <c r="I3" s="42">
        <v>7870000</v>
      </c>
      <c r="J3" s="45"/>
      <c r="K3" s="49">
        <f t="shared" ref="K3:L10" si="0">G3-B3</f>
        <v>-1</v>
      </c>
      <c r="L3" s="38">
        <f t="shared" si="0"/>
        <v>17809295.129999995</v>
      </c>
      <c r="M3" s="38">
        <f>D3-I3</f>
        <v>730000</v>
      </c>
    </row>
    <row r="4" spans="1:13" x14ac:dyDescent="0.3">
      <c r="A4" s="50">
        <v>43806</v>
      </c>
      <c r="B4" s="49">
        <v>10</v>
      </c>
      <c r="C4" s="51">
        <v>41947173.340000004</v>
      </c>
      <c r="D4" s="51">
        <v>7420000</v>
      </c>
      <c r="F4" s="50">
        <v>44171</v>
      </c>
      <c r="G4" s="49">
        <v>10</v>
      </c>
      <c r="H4" s="51">
        <f>60301127.13</f>
        <v>60301127.130000003</v>
      </c>
      <c r="I4" s="38">
        <v>7740000</v>
      </c>
      <c r="J4" s="45"/>
      <c r="K4" s="49">
        <f t="shared" si="0"/>
        <v>0</v>
      </c>
      <c r="L4" s="38">
        <f t="shared" si="0"/>
        <v>18353953.789999999</v>
      </c>
      <c r="M4" s="38">
        <f t="shared" ref="M4:M10" si="1">D4-I4</f>
        <v>-320000</v>
      </c>
    </row>
    <row r="5" spans="1:13" x14ac:dyDescent="0.3">
      <c r="A5" s="50">
        <v>43813</v>
      </c>
      <c r="B5" s="49">
        <v>10</v>
      </c>
      <c r="C5" s="51">
        <v>50509842.219999999</v>
      </c>
      <c r="D5" s="51">
        <v>8350000</v>
      </c>
      <c r="F5" s="50">
        <v>44177</v>
      </c>
      <c r="G5" s="49">
        <v>11</v>
      </c>
      <c r="H5" s="51">
        <v>56077694</v>
      </c>
      <c r="I5" s="38">
        <v>9990000</v>
      </c>
      <c r="J5" s="45"/>
      <c r="K5" s="49">
        <f t="shared" si="0"/>
        <v>1</v>
      </c>
      <c r="L5" s="38">
        <f t="shared" si="0"/>
        <v>5567851.7800000012</v>
      </c>
      <c r="M5" s="38">
        <f t="shared" si="1"/>
        <v>-1640000</v>
      </c>
    </row>
    <row r="6" spans="1:13" x14ac:dyDescent="0.3">
      <c r="A6" s="50">
        <v>43817</v>
      </c>
      <c r="B6" s="49">
        <v>9</v>
      </c>
      <c r="C6" s="51">
        <v>42112813.18</v>
      </c>
      <c r="D6" s="51">
        <v>7070000</v>
      </c>
      <c r="F6" s="50">
        <v>44178</v>
      </c>
      <c r="G6" s="49">
        <v>9</v>
      </c>
      <c r="H6" s="51">
        <v>46479251.409999996</v>
      </c>
      <c r="I6" s="38">
        <v>6500000</v>
      </c>
      <c r="J6" s="45"/>
      <c r="K6" s="49">
        <f t="shared" si="0"/>
        <v>0</v>
      </c>
      <c r="L6" s="38">
        <f t="shared" si="0"/>
        <v>4366438.2299999967</v>
      </c>
      <c r="M6" s="38">
        <f t="shared" si="1"/>
        <v>570000</v>
      </c>
    </row>
    <row r="7" spans="1:13" x14ac:dyDescent="0.3">
      <c r="A7" s="50">
        <v>43820</v>
      </c>
      <c r="B7" s="49">
        <v>11</v>
      </c>
      <c r="C7" s="51">
        <v>61502980.219999999</v>
      </c>
      <c r="D7" s="51">
        <v>8250000</v>
      </c>
      <c r="F7" s="50">
        <v>44184</v>
      </c>
      <c r="G7" s="49">
        <v>11</v>
      </c>
      <c r="H7" s="51">
        <v>66397832.710000001</v>
      </c>
      <c r="I7" s="38">
        <v>8330000</v>
      </c>
      <c r="J7" s="45"/>
      <c r="K7" s="49">
        <f t="shared" si="0"/>
        <v>0</v>
      </c>
      <c r="L7" s="38">
        <f t="shared" si="0"/>
        <v>4894852.4900000021</v>
      </c>
      <c r="M7" s="38">
        <f t="shared" si="1"/>
        <v>-80000</v>
      </c>
    </row>
    <row r="8" spans="1:13" x14ac:dyDescent="0.3">
      <c r="A8" s="50">
        <v>43825</v>
      </c>
      <c r="B8" s="49">
        <v>9</v>
      </c>
      <c r="C8" s="51">
        <v>62945151.640000001</v>
      </c>
      <c r="D8" s="51">
        <v>9740000</v>
      </c>
      <c r="F8" s="50">
        <v>44188</v>
      </c>
      <c r="G8" s="49">
        <v>9</v>
      </c>
      <c r="H8" s="51">
        <v>51702744</v>
      </c>
      <c r="I8" s="38">
        <f>870000+690000+600000+650000+900000+620000+900000+930000+1000000</f>
        <v>7160000</v>
      </c>
      <c r="J8" s="45"/>
      <c r="K8" s="49">
        <f t="shared" si="0"/>
        <v>0</v>
      </c>
      <c r="L8" s="38">
        <f t="shared" si="0"/>
        <v>-11242407.640000001</v>
      </c>
      <c r="M8" s="38">
        <f t="shared" si="1"/>
        <v>2580000</v>
      </c>
    </row>
    <row r="9" spans="1:13" x14ac:dyDescent="0.3">
      <c r="A9" s="50">
        <v>43827</v>
      </c>
      <c r="B9" s="49">
        <v>9</v>
      </c>
      <c r="C9" s="51">
        <v>57850368.689999998</v>
      </c>
      <c r="D9" s="51">
        <v>7060000</v>
      </c>
      <c r="F9" s="50">
        <v>44191</v>
      </c>
      <c r="G9" s="49">
        <v>10</v>
      </c>
      <c r="H9" s="51">
        <v>72225437</v>
      </c>
      <c r="I9" s="38">
        <f>600000+700000+820000+750000+1000000+1000000+700000+970000+1000000+4500000</f>
        <v>12040000</v>
      </c>
      <c r="J9" s="45"/>
      <c r="K9" s="49">
        <f t="shared" si="0"/>
        <v>1</v>
      </c>
      <c r="L9" s="38">
        <f t="shared" si="0"/>
        <v>14375068.310000002</v>
      </c>
      <c r="M9" s="38">
        <f t="shared" si="1"/>
        <v>-4980000</v>
      </c>
    </row>
    <row r="10" spans="1:13" x14ac:dyDescent="0.3">
      <c r="A10" s="50"/>
      <c r="B10" s="49"/>
      <c r="C10" s="51"/>
      <c r="D10" s="51"/>
      <c r="F10" s="50">
        <v>44192</v>
      </c>
      <c r="G10" s="49">
        <v>11</v>
      </c>
      <c r="H10" s="51">
        <v>59862788</v>
      </c>
      <c r="I10" s="38">
        <f>700000+970000+970000+760000+780000+1000000+780000+720000+1030000+4000000+2500000</f>
        <v>14210000</v>
      </c>
      <c r="J10" s="45"/>
      <c r="K10" s="49">
        <f t="shared" si="0"/>
        <v>11</v>
      </c>
      <c r="L10" s="38">
        <f t="shared" si="0"/>
        <v>59862788</v>
      </c>
      <c r="M10" s="38">
        <f t="shared" si="1"/>
        <v>-14210000</v>
      </c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68</v>
      </c>
      <c r="C12" s="39">
        <f>SUM(C3:C11)</f>
        <v>353293515.28000003</v>
      </c>
      <c r="D12" s="54">
        <f>SUM(D3:D11)</f>
        <v>56490000</v>
      </c>
      <c r="F12" s="52" t="s">
        <v>66</v>
      </c>
      <c r="G12" s="52">
        <f>SUM(G3:G11)</f>
        <v>80</v>
      </c>
      <c r="H12" s="39">
        <f>SUM(H3:H11)</f>
        <v>467281355.37</v>
      </c>
      <c r="I12" s="39">
        <f>SUM(I3:I11)</f>
        <v>73840000</v>
      </c>
      <c r="J12" s="46"/>
      <c r="K12" s="14">
        <f>G12-B12</f>
        <v>12</v>
      </c>
      <c r="L12" s="39">
        <f>SUM(L3:L11)</f>
        <v>113987840.09</v>
      </c>
      <c r="M12" s="39">
        <f>SUM(M3:M11)</f>
        <v>-17350000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>
        <f>SUM(B3:B11)/COUNT(B3:B11)</f>
        <v>9.7142857142857135</v>
      </c>
      <c r="C14" s="63">
        <f>SUM(C3:C11)/COUNT(C3:C11)</f>
        <v>50470502.182857148</v>
      </c>
      <c r="D14" s="63">
        <f>SUM(D3:D11)/COUNT(D3:D11)</f>
        <v>8070000</v>
      </c>
      <c r="F14" s="59"/>
      <c r="G14" s="60">
        <f>SUM(G3:G11)/COUNT(G3:G11)</f>
        <v>10</v>
      </c>
      <c r="H14" s="61">
        <f>SUM(H3:H11)/COUNT(H3:H11)</f>
        <v>58410169.421250001</v>
      </c>
      <c r="I14" s="61">
        <f>SUM(I3:I11)/COUNT(I3:I11)</f>
        <v>9230000</v>
      </c>
      <c r="J14" s="48"/>
      <c r="K14" s="62">
        <f>SUM(K3:K11)/COUNT(K3:K11)</f>
        <v>1.5</v>
      </c>
      <c r="L14" s="63">
        <f>SUM(L3:L11)/COUNT(L3:L11)</f>
        <v>14248480.01125</v>
      </c>
      <c r="M14" s="63">
        <f>SUM(M3:M11)/COUNT(M3:M11)</f>
        <v>-2168750</v>
      </c>
    </row>
    <row r="16" spans="1:13" x14ac:dyDescent="0.3">
      <c r="A16" s="34" t="s">
        <v>71</v>
      </c>
    </row>
    <row r="17" spans="1:13" ht="29.5" thickBot="1" x14ac:dyDescent="0.4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3">
      <c r="A18" s="73">
        <v>43806</v>
      </c>
      <c r="B18" s="68">
        <v>7</v>
      </c>
      <c r="C18" s="74">
        <v>66482317.409999996</v>
      </c>
      <c r="D18" s="74"/>
      <c r="F18" s="73">
        <v>44170</v>
      </c>
      <c r="G18" s="68">
        <v>5</v>
      </c>
      <c r="H18" s="74">
        <v>51947661.659999996</v>
      </c>
      <c r="I18" s="69"/>
      <c r="J18" s="45"/>
      <c r="K18" s="68">
        <f t="shared" ref="K18:L22" si="2">G18-B18</f>
        <v>-2</v>
      </c>
      <c r="L18" s="69">
        <f t="shared" si="2"/>
        <v>-14534655.75</v>
      </c>
      <c r="M18" s="69"/>
    </row>
    <row r="19" spans="1:13" x14ac:dyDescent="0.3">
      <c r="A19" s="73">
        <v>43813</v>
      </c>
      <c r="B19" s="68">
        <v>7</v>
      </c>
      <c r="C19" s="74">
        <v>62590117.619999997</v>
      </c>
      <c r="D19" s="74"/>
      <c r="F19" s="73">
        <v>44177</v>
      </c>
      <c r="G19" s="68">
        <v>7</v>
      </c>
      <c r="H19" s="74">
        <v>74245691.680000007</v>
      </c>
      <c r="I19" s="69"/>
      <c r="J19" s="45"/>
      <c r="K19" s="68">
        <f t="shared" si="2"/>
        <v>0</v>
      </c>
      <c r="L19" s="69">
        <f t="shared" si="2"/>
        <v>11655574.06000001</v>
      </c>
      <c r="M19" s="69"/>
    </row>
    <row r="20" spans="1:13" x14ac:dyDescent="0.3">
      <c r="A20" s="73">
        <v>43820</v>
      </c>
      <c r="B20" s="68">
        <v>7</v>
      </c>
      <c r="C20" s="74">
        <v>61848955.890000001</v>
      </c>
      <c r="D20" s="74"/>
      <c r="F20" s="73">
        <v>44184</v>
      </c>
      <c r="G20" s="68">
        <v>7</v>
      </c>
      <c r="H20" s="74">
        <v>69004108.659999996</v>
      </c>
      <c r="I20" s="69"/>
      <c r="J20" s="45"/>
      <c r="K20" s="68">
        <f t="shared" si="2"/>
        <v>0</v>
      </c>
      <c r="L20" s="69">
        <f t="shared" si="2"/>
        <v>7155152.7699999958</v>
      </c>
      <c r="M20" s="69"/>
    </row>
    <row r="21" spans="1:13" x14ac:dyDescent="0.3">
      <c r="A21" s="73">
        <v>43827</v>
      </c>
      <c r="B21" s="68">
        <v>7</v>
      </c>
      <c r="C21" s="74">
        <v>59169985.18</v>
      </c>
      <c r="D21" s="74"/>
      <c r="F21" s="73">
        <v>44191</v>
      </c>
      <c r="G21" s="68">
        <v>7</v>
      </c>
      <c r="H21" s="74">
        <v>64463894.409999996</v>
      </c>
      <c r="I21" s="69"/>
      <c r="J21" s="45"/>
      <c r="K21" s="68">
        <f t="shared" si="2"/>
        <v>0</v>
      </c>
      <c r="L21" s="69">
        <f t="shared" si="2"/>
        <v>5293909.2299999967</v>
      </c>
      <c r="M21" s="69"/>
    </row>
    <row r="22" spans="1:13" x14ac:dyDescent="0.3">
      <c r="A22" s="73">
        <v>43830</v>
      </c>
      <c r="B22" s="68">
        <v>3</v>
      </c>
      <c r="C22" s="74">
        <v>23373723.600000001</v>
      </c>
      <c r="D22" s="74"/>
      <c r="F22" s="73">
        <v>44196</v>
      </c>
      <c r="G22" s="68">
        <v>5</v>
      </c>
      <c r="H22" s="74">
        <v>54802438.32</v>
      </c>
      <c r="I22" s="69"/>
      <c r="J22" s="45"/>
      <c r="K22" s="68">
        <f t="shared" si="2"/>
        <v>2</v>
      </c>
      <c r="L22" s="69">
        <f t="shared" si="2"/>
        <v>31428714.719999999</v>
      </c>
      <c r="M22" s="69"/>
    </row>
    <row r="23" spans="1:13" x14ac:dyDescent="0.3">
      <c r="A23" s="73"/>
      <c r="B23" s="68"/>
      <c r="C23" s="74"/>
      <c r="D23" s="74"/>
      <c r="F23" s="73"/>
      <c r="G23" s="68"/>
      <c r="H23" s="74"/>
      <c r="I23" s="69"/>
      <c r="J23" s="45"/>
      <c r="K23" s="68"/>
      <c r="L23" s="69"/>
      <c r="M23" s="69"/>
    </row>
    <row r="24" spans="1:13" ht="13.5" thickBot="1" x14ac:dyDescent="0.35">
      <c r="A24" s="75" t="s">
        <v>66</v>
      </c>
      <c r="B24" s="75">
        <f>SUM(B18:B22)</f>
        <v>31</v>
      </c>
      <c r="C24" s="70">
        <f>SUM(C18:C22)</f>
        <v>273465099.70000005</v>
      </c>
      <c r="D24" s="70"/>
      <c r="F24" s="75" t="s">
        <v>66</v>
      </c>
      <c r="G24" s="75">
        <f>SUM(G18:G23)</f>
        <v>31</v>
      </c>
      <c r="H24" s="70">
        <f>SUM(H18:H23)</f>
        <v>314463794.73000002</v>
      </c>
      <c r="I24" s="70"/>
      <c r="J24" s="46"/>
      <c r="K24" s="68">
        <f>SUM(K18:K23)</f>
        <v>0</v>
      </c>
      <c r="L24" s="70">
        <f>SUM(L18:L22)</f>
        <v>40998695.030000001</v>
      </c>
      <c r="M24" s="70"/>
    </row>
    <row r="25" spans="1:13" ht="13.5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35">
      <c r="A26" s="71" t="s">
        <v>67</v>
      </c>
      <c r="B26" s="71"/>
      <c r="C26" s="72">
        <f>C12+C24</f>
        <v>626758614.98000002</v>
      </c>
      <c r="D26" s="72"/>
      <c r="E26" s="41"/>
      <c r="F26" s="71" t="s">
        <v>67</v>
      </c>
      <c r="G26" s="71"/>
      <c r="H26" s="72">
        <f>H24+H12</f>
        <v>781745150.10000002</v>
      </c>
      <c r="I26" s="72"/>
      <c r="J26" s="46"/>
      <c r="K26" s="71"/>
      <c r="L26" s="72">
        <f>L24+L12</f>
        <v>154986535.12</v>
      </c>
      <c r="M26" s="72"/>
    </row>
    <row r="27" spans="1:13" ht="13.5" thickTop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4D8F-55C2-403E-9885-64C7B36ADDEA}">
  <dimension ref="A1:M29"/>
  <sheetViews>
    <sheetView workbookViewId="0">
      <selection activeCell="I3" sqref="I3"/>
    </sheetView>
  </sheetViews>
  <sheetFormatPr defaultRowHeight="13" x14ac:dyDescent="0.3"/>
  <cols>
    <col min="1" max="1" width="26" style="35" customWidth="1"/>
    <col min="2" max="2" width="5.90625" style="35" customWidth="1"/>
    <col min="3" max="3" width="15.90625" style="35" bestFit="1" customWidth="1"/>
    <col min="4" max="4" width="13.81640625" style="35" customWidth="1"/>
    <col min="5" max="5" width="2.81640625" style="35" customWidth="1"/>
    <col min="6" max="6" width="26.08984375" style="35" customWidth="1"/>
    <col min="7" max="7" width="6.54296875" style="35" bestFit="1" customWidth="1"/>
    <col min="8" max="8" width="15.6328125" style="35" bestFit="1" customWidth="1"/>
    <col min="9" max="9" width="13.36328125" style="35" bestFit="1" customWidth="1"/>
    <col min="10" max="10" width="3.36328125" style="47" customWidth="1"/>
    <col min="11" max="11" width="5.26953125" style="35" customWidth="1"/>
    <col min="12" max="12" width="14.54296875" style="35" customWidth="1"/>
    <col min="13" max="13" width="13.08984375" style="35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3">
      <c r="A3" s="50">
        <v>43831</v>
      </c>
      <c r="B3" s="49">
        <v>8</v>
      </c>
      <c r="C3" s="51">
        <v>45295711.590000004</v>
      </c>
      <c r="D3" s="51">
        <v>6110000</v>
      </c>
      <c r="F3" s="50">
        <v>44197</v>
      </c>
      <c r="G3" s="49">
        <v>9</v>
      </c>
      <c r="H3" s="51">
        <v>55105685.539999999</v>
      </c>
      <c r="I3" s="42">
        <v>7180000</v>
      </c>
      <c r="J3" s="45"/>
      <c r="K3" s="49">
        <f t="shared" ref="K3:L10" si="0">G3-B3</f>
        <v>1</v>
      </c>
      <c r="L3" s="38">
        <f t="shared" si="0"/>
        <v>9809973.9499999955</v>
      </c>
      <c r="M3" s="38">
        <f>D3-I3</f>
        <v>-1070000</v>
      </c>
    </row>
    <row r="4" spans="1:13" x14ac:dyDescent="0.3">
      <c r="A4" s="50">
        <v>43834</v>
      </c>
      <c r="B4" s="49">
        <v>10</v>
      </c>
      <c r="C4" s="51">
        <v>43729639.539999999</v>
      </c>
      <c r="D4" s="51">
        <v>6930000</v>
      </c>
      <c r="F4" s="50">
        <v>44198</v>
      </c>
      <c r="G4" s="49">
        <v>9</v>
      </c>
      <c r="H4" s="51">
        <v>45651643</v>
      </c>
      <c r="I4" s="38">
        <v>6230000</v>
      </c>
      <c r="J4" s="45"/>
      <c r="K4" s="49">
        <f t="shared" si="0"/>
        <v>-1</v>
      </c>
      <c r="L4" s="38">
        <f t="shared" si="0"/>
        <v>1922003.4600000009</v>
      </c>
      <c r="M4" s="38">
        <f t="shared" ref="M4:M10" si="1">D4-I4</f>
        <v>700000</v>
      </c>
    </row>
    <row r="5" spans="1:13" x14ac:dyDescent="0.3">
      <c r="A5" s="50">
        <v>43841</v>
      </c>
      <c r="B5" s="49">
        <v>11</v>
      </c>
      <c r="C5" s="51">
        <v>54223980.140000001</v>
      </c>
      <c r="D5" s="51">
        <v>7430000</v>
      </c>
      <c r="F5" s="50">
        <v>44205</v>
      </c>
      <c r="G5" s="49">
        <v>10</v>
      </c>
      <c r="H5" s="51">
        <v>57442983.350000001</v>
      </c>
      <c r="I5" s="38">
        <v>6990000</v>
      </c>
      <c r="J5" s="45"/>
      <c r="K5" s="49">
        <f t="shared" si="0"/>
        <v>-1</v>
      </c>
      <c r="L5" s="38">
        <f t="shared" si="0"/>
        <v>3219003.2100000009</v>
      </c>
      <c r="M5" s="38">
        <f t="shared" si="1"/>
        <v>440000</v>
      </c>
    </row>
    <row r="6" spans="1:13" x14ac:dyDescent="0.3">
      <c r="A6" s="50">
        <v>43848</v>
      </c>
      <c r="B6" s="49">
        <v>9</v>
      </c>
      <c r="C6" s="51">
        <v>47853917.880000003</v>
      </c>
      <c r="D6" s="51">
        <v>6640000</v>
      </c>
      <c r="F6" s="50">
        <v>44212</v>
      </c>
      <c r="G6" s="49">
        <v>10</v>
      </c>
      <c r="H6" s="51">
        <v>62009230</v>
      </c>
      <c r="I6" s="38">
        <v>7410000</v>
      </c>
      <c r="J6" s="45"/>
      <c r="K6" s="49">
        <f t="shared" si="0"/>
        <v>1</v>
      </c>
      <c r="L6" s="38">
        <f t="shared" si="0"/>
        <v>14155312.119999997</v>
      </c>
      <c r="M6" s="38">
        <f t="shared" si="1"/>
        <v>-770000</v>
      </c>
    </row>
    <row r="7" spans="1:13" x14ac:dyDescent="0.3">
      <c r="A7" s="50">
        <v>43855</v>
      </c>
      <c r="B7" s="49">
        <v>11</v>
      </c>
      <c r="C7" s="51">
        <v>52261630.450000003</v>
      </c>
      <c r="D7" s="51">
        <v>7840000</v>
      </c>
      <c r="F7" s="50">
        <v>44219</v>
      </c>
      <c r="G7" s="49">
        <v>10</v>
      </c>
      <c r="H7" s="51">
        <v>63385877</v>
      </c>
      <c r="I7" s="38">
        <v>7060000</v>
      </c>
      <c r="J7" s="45"/>
      <c r="K7" s="49">
        <f t="shared" si="0"/>
        <v>-1</v>
      </c>
      <c r="L7" s="38">
        <f t="shared" si="0"/>
        <v>11124246.549999997</v>
      </c>
      <c r="M7" s="38">
        <f t="shared" si="1"/>
        <v>780000</v>
      </c>
    </row>
    <row r="8" spans="1:13" x14ac:dyDescent="0.3">
      <c r="A8" s="50">
        <v>43856</v>
      </c>
      <c r="B8" s="49">
        <v>9</v>
      </c>
      <c r="C8" s="51">
        <v>37977780.259999998</v>
      </c>
      <c r="D8" s="51">
        <v>6490000</v>
      </c>
      <c r="F8" s="50">
        <v>44226</v>
      </c>
      <c r="G8" s="49">
        <v>9</v>
      </c>
      <c r="H8" s="51">
        <v>52408921.090000004</v>
      </c>
      <c r="I8" s="38">
        <v>7530000</v>
      </c>
      <c r="J8" s="45"/>
      <c r="K8" s="49">
        <f t="shared" si="0"/>
        <v>0</v>
      </c>
      <c r="L8" s="38">
        <f t="shared" si="0"/>
        <v>14431140.830000006</v>
      </c>
      <c r="M8" s="38">
        <f t="shared" si="1"/>
        <v>-1040000</v>
      </c>
    </row>
    <row r="9" spans="1:13" x14ac:dyDescent="0.3">
      <c r="A9" s="50"/>
      <c r="B9" s="49"/>
      <c r="C9" s="51"/>
      <c r="D9" s="51"/>
      <c r="F9" s="50">
        <v>44227</v>
      </c>
      <c r="G9" s="49">
        <v>11</v>
      </c>
      <c r="H9" s="51">
        <v>56256037</v>
      </c>
      <c r="I9" s="38">
        <v>7530000</v>
      </c>
      <c r="J9" s="45"/>
      <c r="K9" s="49">
        <f t="shared" si="0"/>
        <v>11</v>
      </c>
      <c r="L9" s="38">
        <f t="shared" si="0"/>
        <v>56256037</v>
      </c>
      <c r="M9" s="38">
        <f t="shared" si="1"/>
        <v>-7530000</v>
      </c>
    </row>
    <row r="10" spans="1:13" x14ac:dyDescent="0.3">
      <c r="A10" s="50"/>
      <c r="B10" s="49"/>
      <c r="C10" s="51"/>
      <c r="D10" s="51"/>
      <c r="F10" s="50"/>
      <c r="G10" s="49"/>
      <c r="H10" s="51"/>
      <c r="I10" s="38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58</v>
      </c>
      <c r="C12" s="39">
        <f>SUM(C3:C11)</f>
        <v>281342659.85999995</v>
      </c>
      <c r="D12" s="54">
        <f>SUM(D3:D11)</f>
        <v>41440000</v>
      </c>
      <c r="F12" s="52" t="s">
        <v>66</v>
      </c>
      <c r="G12" s="52">
        <f>SUM(G3:G11)</f>
        <v>68</v>
      </c>
      <c r="H12" s="39">
        <f>SUM(H3:H11)</f>
        <v>392260376.98000002</v>
      </c>
      <c r="I12" s="39">
        <f>SUM(I3:I11)</f>
        <v>49930000</v>
      </c>
      <c r="J12" s="46"/>
      <c r="K12" s="14">
        <f>G12-B12</f>
        <v>10</v>
      </c>
      <c r="L12" s="39">
        <f>SUM(L3:L11)</f>
        <v>110917717.12</v>
      </c>
      <c r="M12" s="39">
        <f>SUM(M3:M11)</f>
        <v>-8490000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>
        <f>SUM(B3:B11)/COUNT(B3:B11)</f>
        <v>9.6666666666666661</v>
      </c>
      <c r="C14" s="63">
        <f>SUM(C3:C11)/COUNT(C3:C11)</f>
        <v>46890443.309999995</v>
      </c>
      <c r="D14" s="63">
        <f>SUM(D3:D11)/COUNT(D3:D11)</f>
        <v>6906666.666666667</v>
      </c>
      <c r="F14" s="59"/>
      <c r="G14" s="60">
        <f>SUM(G3:G11)/COUNT(G3:G11)</f>
        <v>9.7142857142857135</v>
      </c>
      <c r="H14" s="61">
        <f>SUM(H3:H11)/COUNT(H3:H11)</f>
        <v>56037196.711428575</v>
      </c>
      <c r="I14" s="61">
        <f>SUM(I3:I11)/COUNT(I3:I11)</f>
        <v>7132857.1428571427</v>
      </c>
      <c r="J14" s="48"/>
      <c r="K14" s="62">
        <f>SUM(K3:K11)/COUNT(K3:K11)</f>
        <v>1.25</v>
      </c>
      <c r="L14" s="63">
        <f>SUM(L3:L11)/COUNT(L3:L11)</f>
        <v>13864714.640000001</v>
      </c>
      <c r="M14" s="63">
        <f>SUM(M3:M11)/COUNT(M3:M11)</f>
        <v>-1061250</v>
      </c>
    </row>
    <row r="16" spans="1:13" x14ac:dyDescent="0.3">
      <c r="A16" s="34" t="s">
        <v>71</v>
      </c>
    </row>
    <row r="17" spans="1:13" ht="29.5" thickBot="1" x14ac:dyDescent="0.4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3">
      <c r="A18" s="73">
        <v>43834</v>
      </c>
      <c r="B18" s="68">
        <v>4</v>
      </c>
      <c r="C18" s="74">
        <v>45893593.75</v>
      </c>
      <c r="D18" s="74"/>
      <c r="F18" s="73">
        <v>44198</v>
      </c>
      <c r="G18" s="68">
        <v>2</v>
      </c>
      <c r="H18" s="74">
        <v>28486958.710000001</v>
      </c>
      <c r="I18" s="69"/>
      <c r="J18" s="45"/>
      <c r="K18" s="68">
        <f t="shared" ref="K18:L23" si="2">G18-B18</f>
        <v>-2</v>
      </c>
      <c r="L18" s="69">
        <f t="shared" si="2"/>
        <v>-17406635.039999999</v>
      </c>
      <c r="M18" s="69"/>
    </row>
    <row r="19" spans="1:13" x14ac:dyDescent="0.3">
      <c r="A19" s="73">
        <v>43841</v>
      </c>
      <c r="B19" s="68">
        <v>7</v>
      </c>
      <c r="C19" s="74">
        <v>64875414.329999998</v>
      </c>
      <c r="D19" s="74"/>
      <c r="F19" s="73">
        <v>44205</v>
      </c>
      <c r="G19" s="68">
        <v>7</v>
      </c>
      <c r="H19" s="74">
        <v>72590205.420000002</v>
      </c>
      <c r="I19" s="69"/>
      <c r="J19" s="45"/>
      <c r="K19" s="68">
        <f t="shared" si="2"/>
        <v>0</v>
      </c>
      <c r="L19" s="69">
        <f t="shared" si="2"/>
        <v>7714791.0900000036</v>
      </c>
      <c r="M19" s="69"/>
    </row>
    <row r="20" spans="1:13" x14ac:dyDescent="0.3">
      <c r="A20" s="73">
        <v>43848</v>
      </c>
      <c r="B20" s="68">
        <v>7</v>
      </c>
      <c r="C20" s="74">
        <v>57515076.43</v>
      </c>
      <c r="D20" s="74"/>
      <c r="F20" s="73">
        <v>44212</v>
      </c>
      <c r="G20" s="68">
        <v>7</v>
      </c>
      <c r="H20" s="74">
        <v>77958045.989999995</v>
      </c>
      <c r="I20" s="69"/>
      <c r="J20" s="45"/>
      <c r="K20" s="68">
        <f t="shared" si="2"/>
        <v>0</v>
      </c>
      <c r="L20" s="69">
        <f t="shared" si="2"/>
        <v>20442969.559999995</v>
      </c>
      <c r="M20" s="69"/>
    </row>
    <row r="21" spans="1:13" x14ac:dyDescent="0.3">
      <c r="A21" s="73">
        <v>43855</v>
      </c>
      <c r="B21" s="68">
        <v>7</v>
      </c>
      <c r="C21" s="74">
        <v>69260991.290000007</v>
      </c>
      <c r="D21" s="74"/>
      <c r="F21" s="73">
        <v>44219</v>
      </c>
      <c r="G21" s="68">
        <v>7</v>
      </c>
      <c r="H21" s="74">
        <v>92067546.019999996</v>
      </c>
      <c r="I21" s="69"/>
      <c r="J21" s="45"/>
      <c r="K21" s="68">
        <f t="shared" si="2"/>
        <v>0</v>
      </c>
      <c r="L21" s="69">
        <f t="shared" si="2"/>
        <v>22806554.729999989</v>
      </c>
      <c r="M21" s="69"/>
    </row>
    <row r="22" spans="1:13" x14ac:dyDescent="0.3">
      <c r="A22" s="73">
        <v>43861</v>
      </c>
      <c r="B22" s="68">
        <v>6</v>
      </c>
      <c r="C22" s="74">
        <v>55021530.75</v>
      </c>
      <c r="D22" s="74"/>
      <c r="F22" s="73">
        <v>44226</v>
      </c>
      <c r="G22" s="68">
        <v>7</v>
      </c>
      <c r="H22" s="74">
        <v>71790363.280000001</v>
      </c>
      <c r="I22" s="69"/>
      <c r="J22" s="45"/>
      <c r="K22" s="68">
        <f t="shared" si="2"/>
        <v>1</v>
      </c>
      <c r="L22" s="69">
        <f t="shared" si="2"/>
        <v>16768832.530000001</v>
      </c>
      <c r="M22" s="69"/>
    </row>
    <row r="23" spans="1:13" x14ac:dyDescent="0.3">
      <c r="A23" s="73"/>
      <c r="B23" s="68"/>
      <c r="C23" s="74"/>
      <c r="D23" s="74"/>
      <c r="F23" s="73">
        <v>44227</v>
      </c>
      <c r="G23" s="68">
        <v>1</v>
      </c>
      <c r="H23" s="74">
        <f>66763052.44-H9</f>
        <v>10507015.439999998</v>
      </c>
      <c r="I23" s="69"/>
      <c r="J23" s="45"/>
      <c r="K23" s="68"/>
      <c r="L23" s="69">
        <f t="shared" si="2"/>
        <v>10507015.439999998</v>
      </c>
      <c r="M23" s="69"/>
    </row>
    <row r="24" spans="1:13" ht="13.5" thickBot="1" x14ac:dyDescent="0.35">
      <c r="A24" s="75" t="s">
        <v>66</v>
      </c>
      <c r="B24" s="75">
        <f>SUM(B18:B22)</f>
        <v>31</v>
      </c>
      <c r="C24" s="70">
        <f>SUM(C18:C22)</f>
        <v>292566606.55000001</v>
      </c>
      <c r="D24" s="70"/>
      <c r="F24" s="75" t="s">
        <v>66</v>
      </c>
      <c r="G24" s="75">
        <f>SUM(G18:G23)</f>
        <v>31</v>
      </c>
      <c r="H24" s="70">
        <f>SUM(H18:H23)</f>
        <v>353400134.85999995</v>
      </c>
      <c r="I24" s="70"/>
      <c r="J24" s="46"/>
      <c r="K24" s="68">
        <f>SUM(K18:K23)</f>
        <v>-1</v>
      </c>
      <c r="L24" s="70">
        <f>SUM(L18:L23)</f>
        <v>60833528.309999987</v>
      </c>
      <c r="M24" s="70"/>
    </row>
    <row r="25" spans="1:13" ht="13.5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35">
      <c r="A26" s="71" t="s">
        <v>67</v>
      </c>
      <c r="B26" s="71"/>
      <c r="C26" s="72">
        <f>C12+C24</f>
        <v>573909266.40999997</v>
      </c>
      <c r="D26" s="72"/>
      <c r="E26" s="41"/>
      <c r="F26" s="71" t="s">
        <v>67</v>
      </c>
      <c r="G26" s="71"/>
      <c r="H26" s="72">
        <f>H24+H12</f>
        <v>745660511.83999991</v>
      </c>
      <c r="I26" s="72"/>
      <c r="J26" s="46"/>
      <c r="K26" s="71"/>
      <c r="L26" s="72">
        <f>L24+L12</f>
        <v>171751245.43000001</v>
      </c>
      <c r="M26" s="72"/>
    </row>
    <row r="27" spans="1:13" ht="13.5" thickTop="1" x14ac:dyDescent="0.3"/>
    <row r="29" spans="1:13" x14ac:dyDescent="0.3">
      <c r="H29" s="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FC7E-B0FC-46B7-B04A-3307C76DE852}">
  <dimension ref="A1:M29"/>
  <sheetViews>
    <sheetView workbookViewId="0">
      <selection activeCell="F3" sqref="F3:I9"/>
    </sheetView>
  </sheetViews>
  <sheetFormatPr defaultRowHeight="13" x14ac:dyDescent="0.3"/>
  <cols>
    <col min="1" max="1" width="26" style="35" customWidth="1"/>
    <col min="2" max="2" width="5.90625" style="35" customWidth="1"/>
    <col min="3" max="3" width="15.90625" style="35" bestFit="1" customWidth="1"/>
    <col min="4" max="4" width="13.81640625" style="35" customWidth="1"/>
    <col min="5" max="5" width="2.81640625" style="35" customWidth="1"/>
    <col min="6" max="6" width="26.08984375" style="35" customWidth="1"/>
    <col min="7" max="7" width="6.54296875" style="35" bestFit="1" customWidth="1"/>
    <col min="8" max="8" width="15.6328125" style="35" bestFit="1" customWidth="1"/>
    <col min="9" max="9" width="13.36328125" style="35" bestFit="1" customWidth="1"/>
    <col min="10" max="10" width="3.36328125" style="47" customWidth="1"/>
    <col min="11" max="11" width="5.26953125" style="35" customWidth="1"/>
    <col min="12" max="12" width="14.54296875" style="35" customWidth="1"/>
    <col min="13" max="13" width="13.08984375" style="35" customWidth="1"/>
    <col min="14" max="14" width="4.54296875" style="35" customWidth="1"/>
    <col min="15" max="16384" width="8.7265625" style="35"/>
  </cols>
  <sheetData>
    <row r="1" spans="1:13" x14ac:dyDescent="0.3">
      <c r="A1" s="34" t="s">
        <v>73</v>
      </c>
    </row>
    <row r="2" spans="1:13" s="36" customFormat="1" ht="30" thickBot="1" x14ac:dyDescent="0.4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3">
      <c r="A3" s="50">
        <v>43862</v>
      </c>
      <c r="B3" s="49">
        <v>11</v>
      </c>
      <c r="C3" s="51">
        <v>53434084.840000004</v>
      </c>
      <c r="D3" s="51">
        <v>7900000</v>
      </c>
      <c r="F3" s="50">
        <v>44233</v>
      </c>
      <c r="G3" s="49">
        <v>10</v>
      </c>
      <c r="H3" s="51">
        <v>50741998</v>
      </c>
      <c r="I3" s="42">
        <f>800000+690000+720000+620000+500000+650000+620000+900000+870000+1000000</f>
        <v>7370000</v>
      </c>
      <c r="J3" s="45"/>
      <c r="K3" s="49">
        <f t="shared" ref="K3:L10" si="0">G3-B3</f>
        <v>-1</v>
      </c>
      <c r="L3" s="38">
        <f t="shared" si="0"/>
        <v>-2692086.8400000036</v>
      </c>
      <c r="M3" s="38">
        <f>D3-I3</f>
        <v>530000</v>
      </c>
    </row>
    <row r="4" spans="1:13" x14ac:dyDescent="0.3">
      <c r="A4" s="50">
        <v>43869</v>
      </c>
      <c r="B4" s="49">
        <v>11</v>
      </c>
      <c r="C4" s="51">
        <v>50012295.689999998</v>
      </c>
      <c r="D4" s="51">
        <v>9130000</v>
      </c>
      <c r="F4" s="50">
        <v>44234</v>
      </c>
      <c r="G4" s="49">
        <v>9</v>
      </c>
      <c r="H4" s="51">
        <v>52115064</v>
      </c>
      <c r="I4" s="38">
        <v>6000000</v>
      </c>
      <c r="J4" s="45"/>
      <c r="K4" s="49">
        <f t="shared" si="0"/>
        <v>-2</v>
      </c>
      <c r="L4" s="38">
        <f t="shared" si="0"/>
        <v>2102768.3100000024</v>
      </c>
      <c r="M4" s="38">
        <f t="shared" ref="M4:M9" si="1">D4-I4</f>
        <v>3130000</v>
      </c>
    </row>
    <row r="5" spans="1:13" x14ac:dyDescent="0.3">
      <c r="A5" s="50">
        <v>43876</v>
      </c>
      <c r="B5" s="49">
        <v>11</v>
      </c>
      <c r="C5" s="51">
        <v>49918424.380000003</v>
      </c>
      <c r="D5" s="51">
        <v>8650000</v>
      </c>
      <c r="F5" s="50">
        <v>44240</v>
      </c>
      <c r="G5" s="49">
        <v>10</v>
      </c>
      <c r="H5" s="51">
        <v>58469888</v>
      </c>
      <c r="I5" s="38">
        <v>7490000</v>
      </c>
      <c r="J5" s="45"/>
      <c r="K5" s="49">
        <f t="shared" si="0"/>
        <v>-1</v>
      </c>
      <c r="L5" s="38">
        <f t="shared" si="0"/>
        <v>8551463.6199999973</v>
      </c>
      <c r="M5" s="38">
        <f t="shared" si="1"/>
        <v>1160000</v>
      </c>
    </row>
    <row r="6" spans="1:13" x14ac:dyDescent="0.3">
      <c r="A6" s="50">
        <v>43877</v>
      </c>
      <c r="B6" s="49">
        <v>10</v>
      </c>
      <c r="C6" s="51">
        <v>43636713.479999997</v>
      </c>
      <c r="D6" s="51">
        <v>7550000</v>
      </c>
      <c r="F6" s="50">
        <v>44244</v>
      </c>
      <c r="G6" s="49">
        <v>11</v>
      </c>
      <c r="H6" s="51">
        <v>56822944</v>
      </c>
      <c r="I6" s="38">
        <v>10900000</v>
      </c>
      <c r="J6" s="45"/>
      <c r="K6" s="49">
        <f t="shared" si="0"/>
        <v>1</v>
      </c>
      <c r="L6" s="38">
        <f t="shared" si="0"/>
        <v>13186230.520000003</v>
      </c>
      <c r="M6" s="38">
        <f t="shared" si="1"/>
        <v>-3350000</v>
      </c>
    </row>
    <row r="7" spans="1:13" x14ac:dyDescent="0.3">
      <c r="A7" s="50">
        <v>43883</v>
      </c>
      <c r="B7" s="49">
        <v>10</v>
      </c>
      <c r="C7" s="51">
        <v>48566507</v>
      </c>
      <c r="D7" s="51">
        <v>7750000</v>
      </c>
      <c r="F7" s="50">
        <v>44247</v>
      </c>
      <c r="G7" s="49">
        <v>9</v>
      </c>
      <c r="H7" s="51">
        <v>57426389.590000004</v>
      </c>
      <c r="I7" s="38">
        <v>6390000</v>
      </c>
      <c r="J7" s="45"/>
      <c r="K7" s="49">
        <f t="shared" si="0"/>
        <v>-1</v>
      </c>
      <c r="L7" s="38">
        <f t="shared" si="0"/>
        <v>8859882.5900000036</v>
      </c>
      <c r="M7" s="38">
        <f t="shared" si="1"/>
        <v>1360000</v>
      </c>
    </row>
    <row r="8" spans="1:13" x14ac:dyDescent="0.3">
      <c r="A8" s="50">
        <v>43887</v>
      </c>
      <c r="B8" s="49">
        <v>11</v>
      </c>
      <c r="C8" s="51">
        <v>51416104.380000003</v>
      </c>
      <c r="D8" s="51">
        <v>9830000</v>
      </c>
      <c r="F8" s="50">
        <v>44254</v>
      </c>
      <c r="G8" s="49">
        <v>9</v>
      </c>
      <c r="H8" s="51">
        <v>53635641.439999998</v>
      </c>
      <c r="I8" s="38">
        <v>6590000</v>
      </c>
      <c r="J8" s="45"/>
      <c r="K8" s="49">
        <f t="shared" si="0"/>
        <v>-2</v>
      </c>
      <c r="L8" s="38">
        <f t="shared" si="0"/>
        <v>2219537.0599999949</v>
      </c>
      <c r="M8" s="38">
        <f t="shared" si="1"/>
        <v>3240000</v>
      </c>
    </row>
    <row r="9" spans="1:13" x14ac:dyDescent="0.3">
      <c r="A9" s="50"/>
      <c r="B9" s="49"/>
      <c r="C9" s="51"/>
      <c r="D9" s="51"/>
      <c r="F9" s="50">
        <v>44255</v>
      </c>
      <c r="G9" s="49">
        <v>9</v>
      </c>
      <c r="H9" s="51">
        <v>54760663.479999997</v>
      </c>
      <c r="I9" s="38">
        <v>6250000</v>
      </c>
      <c r="J9" s="45"/>
      <c r="K9" s="49">
        <f t="shared" si="0"/>
        <v>9</v>
      </c>
      <c r="L9" s="38">
        <f t="shared" si="0"/>
        <v>54760663.479999997</v>
      </c>
      <c r="M9" s="38">
        <f t="shared" si="1"/>
        <v>-6250000</v>
      </c>
    </row>
    <row r="10" spans="1:13" x14ac:dyDescent="0.3">
      <c r="A10" s="50"/>
      <c r="B10" s="49"/>
      <c r="C10" s="51"/>
      <c r="D10" s="51"/>
      <c r="F10" s="50"/>
      <c r="G10" s="49"/>
      <c r="H10" s="51"/>
      <c r="I10" s="38"/>
      <c r="J10" s="45"/>
      <c r="K10" s="49">
        <f t="shared" si="0"/>
        <v>0</v>
      </c>
      <c r="L10" s="38"/>
      <c r="M10" s="38"/>
    </row>
    <row r="11" spans="1:13" x14ac:dyDescent="0.3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" thickBot="1" x14ac:dyDescent="0.4">
      <c r="A12" s="52" t="s">
        <v>66</v>
      </c>
      <c r="B12" s="52">
        <f>SUM(B3:B11)</f>
        <v>64</v>
      </c>
      <c r="C12" s="39">
        <f>SUM(C3:C11)</f>
        <v>296984129.76999998</v>
      </c>
      <c r="D12" s="54">
        <f>SUM(D3:D11)</f>
        <v>50810000</v>
      </c>
      <c r="F12" s="52" t="s">
        <v>66</v>
      </c>
      <c r="G12" s="52">
        <f>SUM(G3:G11)</f>
        <v>67</v>
      </c>
      <c r="H12" s="39">
        <f>SUM(H3:H11)</f>
        <v>383972588.51000005</v>
      </c>
      <c r="I12" s="39">
        <f>SUM(I3:I11)</f>
        <v>50990000</v>
      </c>
      <c r="J12" s="46"/>
      <c r="K12" s="14">
        <f>G12-B12</f>
        <v>3</v>
      </c>
      <c r="L12" s="39">
        <f>SUM(L3:L11)</f>
        <v>86988458.739999995</v>
      </c>
      <c r="M12" s="39">
        <f>SUM(M3:M11)</f>
        <v>-180000</v>
      </c>
    </row>
    <row r="13" spans="1:13" ht="13.5" thickTop="1" x14ac:dyDescent="0.3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3">
      <c r="A14" s="65" t="s">
        <v>72</v>
      </c>
      <c r="B14" s="62">
        <f>SUM(B3:B11)/COUNT(B3:B11)</f>
        <v>10.666666666666666</v>
      </c>
      <c r="C14" s="63">
        <f>SUM(C3:C11)/COUNT(C3:C11)</f>
        <v>49497354.961666666</v>
      </c>
      <c r="D14" s="63">
        <f>SUM(D3:D11)/COUNT(D3:D11)</f>
        <v>8468333.333333334</v>
      </c>
      <c r="F14" s="59"/>
      <c r="G14" s="60">
        <f>SUM(G3:G11)/COUNT(G3:G11)</f>
        <v>9.5714285714285712</v>
      </c>
      <c r="H14" s="61">
        <f>SUM(H3:H11)/COUNT(H3:H11)</f>
        <v>54853226.930000007</v>
      </c>
      <c r="I14" s="61">
        <f>SUM(I3:I11)/COUNT(I3:I11)</f>
        <v>7284285.7142857146</v>
      </c>
      <c r="J14" s="48"/>
      <c r="K14" s="62">
        <f>SUM(K3:K11)/COUNT(K3:K11)</f>
        <v>0.375</v>
      </c>
      <c r="L14" s="63">
        <f>SUM(L3:L11)/COUNT(L3:L11)</f>
        <v>12426922.677142857</v>
      </c>
      <c r="M14" s="63">
        <f>SUM(M3:M11)/COUNT(M3:M11)</f>
        <v>-25714.285714285714</v>
      </c>
    </row>
    <row r="15" spans="1:13" x14ac:dyDescent="0.3">
      <c r="H15" s="78">
        <f>H12/G12</f>
        <v>5730934.1568656722</v>
      </c>
    </row>
    <row r="16" spans="1:13" x14ac:dyDescent="0.3">
      <c r="A16" s="34" t="s">
        <v>71</v>
      </c>
    </row>
    <row r="17" spans="1:13" ht="29.5" thickBot="1" x14ac:dyDescent="0.4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3">
      <c r="A18" s="73">
        <v>43862</v>
      </c>
      <c r="B18" s="68">
        <v>1</v>
      </c>
      <c r="C18" s="74">
        <v>14442253.039999999</v>
      </c>
      <c r="D18" s="74"/>
      <c r="F18" s="73">
        <v>44233</v>
      </c>
      <c r="G18" s="68">
        <v>6</v>
      </c>
      <c r="H18" s="74">
        <v>61086362.920000002</v>
      </c>
      <c r="I18" s="69"/>
      <c r="J18" s="45"/>
      <c r="K18" s="68">
        <f t="shared" ref="K18:L23" si="2">G18-B18</f>
        <v>5</v>
      </c>
      <c r="L18" s="69">
        <f t="shared" si="2"/>
        <v>46644109.880000003</v>
      </c>
      <c r="M18" s="69"/>
    </row>
    <row r="19" spans="1:13" x14ac:dyDescent="0.3">
      <c r="A19" s="73">
        <v>43869</v>
      </c>
      <c r="B19" s="68">
        <v>7</v>
      </c>
      <c r="C19" s="74">
        <v>67150953.480000004</v>
      </c>
      <c r="D19" s="74"/>
      <c r="F19" s="73">
        <v>44240</v>
      </c>
      <c r="G19" s="68">
        <v>7</v>
      </c>
      <c r="H19" s="74">
        <v>61545113.270000003</v>
      </c>
      <c r="I19" s="69"/>
      <c r="J19" s="45"/>
      <c r="K19" s="68">
        <f t="shared" si="2"/>
        <v>0</v>
      </c>
      <c r="L19" s="69">
        <f t="shared" si="2"/>
        <v>-5605840.2100000009</v>
      </c>
      <c r="M19" s="69"/>
    </row>
    <row r="20" spans="1:13" x14ac:dyDescent="0.3">
      <c r="A20" s="73">
        <v>43876</v>
      </c>
      <c r="B20" s="68">
        <v>7</v>
      </c>
      <c r="C20" s="74">
        <v>66922878.609999999</v>
      </c>
      <c r="D20" s="74"/>
      <c r="F20" s="73">
        <v>44247</v>
      </c>
      <c r="G20" s="68">
        <v>7</v>
      </c>
      <c r="H20" s="74">
        <v>54996557.869999997</v>
      </c>
      <c r="I20" s="69"/>
      <c r="J20" s="45"/>
      <c r="K20" s="68">
        <f t="shared" si="2"/>
        <v>0</v>
      </c>
      <c r="L20" s="69">
        <f t="shared" si="2"/>
        <v>-11926320.740000002</v>
      </c>
      <c r="M20" s="69"/>
    </row>
    <row r="21" spans="1:13" x14ac:dyDescent="0.3">
      <c r="A21" s="73">
        <v>43883</v>
      </c>
      <c r="B21" s="68">
        <v>7</v>
      </c>
      <c r="C21" s="74">
        <v>70874832.900000006</v>
      </c>
      <c r="D21" s="74"/>
      <c r="F21" s="73">
        <v>44254</v>
      </c>
      <c r="G21" s="68">
        <v>7</v>
      </c>
      <c r="H21" s="74">
        <v>66276576.359999999</v>
      </c>
      <c r="I21" s="69"/>
      <c r="J21" s="45"/>
      <c r="K21" s="68">
        <f t="shared" si="2"/>
        <v>0</v>
      </c>
      <c r="L21" s="69">
        <f t="shared" si="2"/>
        <v>-4598256.5400000066</v>
      </c>
      <c r="M21" s="69"/>
    </row>
    <row r="22" spans="1:13" x14ac:dyDescent="0.3">
      <c r="A22" s="73">
        <v>43890</v>
      </c>
      <c r="B22" s="68">
        <v>7</v>
      </c>
      <c r="C22" s="74">
        <v>76053260.670000002</v>
      </c>
      <c r="D22" s="74"/>
      <c r="F22" s="73">
        <v>44255</v>
      </c>
      <c r="G22" s="68">
        <v>1</v>
      </c>
      <c r="H22" s="74">
        <v>11155340.310000001</v>
      </c>
      <c r="I22" s="69"/>
      <c r="J22" s="45"/>
      <c r="K22" s="68">
        <f t="shared" si="2"/>
        <v>-6</v>
      </c>
      <c r="L22" s="69">
        <f t="shared" si="2"/>
        <v>-64897920.359999999</v>
      </c>
      <c r="M22" s="69"/>
    </row>
    <row r="23" spans="1:13" x14ac:dyDescent="0.3">
      <c r="A23" s="73"/>
      <c r="B23" s="68"/>
      <c r="C23" s="74"/>
      <c r="D23" s="74"/>
      <c r="F23" s="73"/>
      <c r="G23" s="68"/>
      <c r="H23" s="74"/>
      <c r="I23" s="69"/>
      <c r="J23" s="45"/>
      <c r="K23" s="68"/>
      <c r="L23" s="69">
        <f t="shared" si="2"/>
        <v>0</v>
      </c>
      <c r="M23" s="69"/>
    </row>
    <row r="24" spans="1:13" ht="13.5" thickBot="1" x14ac:dyDescent="0.35">
      <c r="A24" s="75" t="s">
        <v>66</v>
      </c>
      <c r="B24" s="75">
        <f>SUM(B18:B22)</f>
        <v>29</v>
      </c>
      <c r="C24" s="70">
        <f>SUM(C18:C22)</f>
        <v>295444178.69999999</v>
      </c>
      <c r="D24" s="70"/>
      <c r="F24" s="75" t="s">
        <v>66</v>
      </c>
      <c r="G24" s="75">
        <f>SUM(G18:G23)</f>
        <v>28</v>
      </c>
      <c r="H24" s="70">
        <f>SUM(H18:H23)</f>
        <v>255059950.73000002</v>
      </c>
      <c r="I24" s="70"/>
      <c r="J24" s="46"/>
      <c r="K24" s="68">
        <f>SUM(K18:K23)</f>
        <v>-1</v>
      </c>
      <c r="L24" s="70">
        <f>SUM(L18:L23)</f>
        <v>-40384227.970000006</v>
      </c>
      <c r="M24" s="70"/>
    </row>
    <row r="25" spans="1:13" ht="13.5" thickTop="1" x14ac:dyDescent="0.3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35">
      <c r="A26" s="71" t="s">
        <v>67</v>
      </c>
      <c r="B26" s="71"/>
      <c r="C26" s="72">
        <f>C12+C24</f>
        <v>592428308.47000003</v>
      </c>
      <c r="D26" s="72"/>
      <c r="E26" s="41"/>
      <c r="F26" s="71" t="s">
        <v>67</v>
      </c>
      <c r="G26" s="71"/>
      <c r="H26" s="72">
        <f>H24+H12</f>
        <v>639032539.24000001</v>
      </c>
      <c r="I26" s="72"/>
      <c r="J26" s="46"/>
      <c r="K26" s="71"/>
      <c r="L26" s="72">
        <f>L24+L12</f>
        <v>46604230.769999988</v>
      </c>
      <c r="M26" s="72"/>
    </row>
    <row r="27" spans="1:13" ht="13.5" thickTop="1" x14ac:dyDescent="0.3"/>
    <row r="29" spans="1:13" x14ac:dyDescent="0.3">
      <c r="H29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Sheet1</vt:lpstr>
      <vt:lpstr>July 2020</vt:lpstr>
      <vt:lpstr>Aug 2020</vt:lpstr>
      <vt:lpstr>Sept 2020</vt:lpstr>
      <vt:lpstr>Oct 2020</vt:lpstr>
      <vt:lpstr>Nov 2020</vt:lpstr>
      <vt:lpstr>Dec 2020</vt:lpstr>
      <vt:lpstr>Jan 2021</vt:lpstr>
      <vt:lpstr>Feb 2021</vt:lpstr>
      <vt:lpstr>Mar 2021</vt:lpstr>
      <vt:lpstr>April 2021</vt:lpstr>
      <vt:lpstr>May 2021</vt:lpstr>
      <vt:lpstr>June 2021</vt:lpstr>
      <vt:lpstr>July 2021</vt:lpstr>
      <vt:lpstr>Aug 2021</vt:lpstr>
      <vt:lpstr>Sept 2021</vt:lpstr>
      <vt:lpstr>Oct 2021</vt:lpstr>
      <vt:lpstr>Sheet2</vt:lpstr>
      <vt:lpstr>Nov 2021</vt:lpstr>
      <vt:lpstr>Dec 2021</vt:lpstr>
      <vt:lpstr>Jan 2022</vt:lpstr>
      <vt:lpstr>Feb 2022</vt:lpstr>
      <vt:lpstr>March 2022</vt:lpstr>
      <vt:lpstr>April 2022</vt:lpstr>
      <vt:lpstr>May 2022</vt:lpstr>
      <vt:lpstr>June 2022</vt:lpstr>
      <vt:lpstr>July 2022</vt:lpstr>
      <vt:lpstr>August 2022</vt:lpstr>
      <vt:lpstr>September 2022</vt:lpstr>
      <vt:lpstr>October 2022</vt:lpstr>
      <vt:lpstr>November 2022</vt:lpstr>
      <vt:lpstr>December 2022</vt:lpstr>
      <vt:lpstr>January 2023</vt:lpstr>
      <vt:lpstr>February 2023</vt:lpstr>
      <vt:lpstr>March 2023</vt:lpstr>
      <vt:lpstr>April 2023</vt:lpstr>
      <vt:lpstr>May 2023</vt:lpstr>
      <vt:lpstr>June 2023</vt:lpstr>
      <vt:lpstr>July 2023</vt:lpstr>
      <vt:lpstr>August 2023</vt:lpstr>
      <vt:lpstr>September 2023</vt:lpstr>
      <vt:lpstr>October 2023</vt:lpstr>
      <vt:lpstr>November 2023</vt:lpstr>
      <vt:lpstr>December 2023</vt:lpstr>
      <vt:lpstr>January 2024</vt:lpstr>
      <vt:lpstr>February 2024</vt:lpstr>
      <vt:lpstr>March 2024</vt:lpstr>
      <vt:lpstr>April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Robertson</dc:creator>
  <cp:lastModifiedBy>Maurice Robertson</cp:lastModifiedBy>
  <dcterms:created xsi:type="dcterms:W3CDTF">2020-07-19T02:01:31Z</dcterms:created>
  <dcterms:modified xsi:type="dcterms:W3CDTF">2024-04-01T23:16:05Z</dcterms:modified>
</cp:coreProperties>
</file>