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S Calc" sheetId="1" r:id="rId5"/>
    <sheet state="visible" name="perorangan" sheetId="2" r:id="rId6"/>
    <sheet state="visible" name="potato" sheetId="3" r:id="rId7"/>
    <sheet state="visible" name="luna" sheetId="4" r:id="rId8"/>
    <sheet state="visible" name="nihi" sheetId="5" r:id="rId9"/>
    <sheet state="visible" name="hampers set" sheetId="6" r:id="rId10"/>
    <sheet state="visible" name="lokal" sheetId="7" r:id="rId11"/>
    <sheet state="visible" name="import freight" sheetId="8" r:id="rId12"/>
    <sheet state="visible" name="itungan order dengan valas" sheetId="9" r:id="rId13"/>
    <sheet state="visible" name="italy-id" sheetId="10" r:id="rId14"/>
  </sheets>
  <definedNames/>
  <calcPr/>
</workbook>
</file>

<file path=xl/sharedStrings.xml><?xml version="1.0" encoding="utf-8"?>
<sst xmlns="http://schemas.openxmlformats.org/spreadsheetml/2006/main" count="859" uniqueCount="415">
  <si>
    <t>FIXED COST OF GOODS SOLD (COGS) CALCULATOR</t>
  </si>
  <si>
    <t>Product Information</t>
  </si>
  <si>
    <t>Shipping Information</t>
  </si>
  <si>
    <t>Selling Information</t>
  </si>
  <si>
    <t>Price per Pcs :</t>
  </si>
  <si>
    <t>SEA Freight :</t>
  </si>
  <si>
    <t>Margin :</t>
  </si>
  <si>
    <t>Qty per Ctn :</t>
  </si>
  <si>
    <t>AIR Freight :</t>
  </si>
  <si>
    <t>Sponsor :</t>
  </si>
  <si>
    <t>Length in cm :</t>
  </si>
  <si>
    <t>Ex Rate :</t>
  </si>
  <si>
    <t>Width in cm :</t>
  </si>
  <si>
    <t>GZ Dlv Cost :</t>
  </si>
  <si>
    <t>Height in cm :</t>
  </si>
  <si>
    <t>Local Freight :</t>
  </si>
  <si>
    <t>Weight in kg :</t>
  </si>
  <si>
    <t>MOQ in Ctn :</t>
  </si>
  <si>
    <t>Total Pcs</t>
  </si>
  <si>
    <t>Total Ctn</t>
  </si>
  <si>
    <t>Cost SEA/Pcs</t>
  </si>
  <si>
    <t>Cost AIR/Pcs</t>
  </si>
  <si>
    <t>COGS by SEA</t>
  </si>
  <si>
    <t>COGS by AIR</t>
  </si>
  <si>
    <t>Selling Price by SEA</t>
  </si>
  <si>
    <t>Selling Price by AIR</t>
  </si>
  <si>
    <t>product sea</t>
  </si>
  <si>
    <t>product air</t>
  </si>
  <si>
    <t>*Fill the value</t>
  </si>
  <si>
    <t>Price/Pcs</t>
  </si>
  <si>
    <t>GZ Cost</t>
  </si>
  <si>
    <t>product name</t>
  </si>
  <si>
    <t>vendor</t>
  </si>
  <si>
    <t>sea freight</t>
  </si>
  <si>
    <t>air freight</t>
  </si>
  <si>
    <t>kurs</t>
  </si>
  <si>
    <t>qty</t>
  </si>
  <si>
    <t>exw</t>
  </si>
  <si>
    <t>ongkir ke gz</t>
  </si>
  <si>
    <t>cn id sea</t>
  </si>
  <si>
    <t>cn id air</t>
  </si>
  <si>
    <t>lokal freight</t>
  </si>
  <si>
    <t>hpp by sea</t>
  </si>
  <si>
    <t>hpp by air</t>
  </si>
  <si>
    <t>1% sponsor sea</t>
  </si>
  <si>
    <t>1% sponsor air</t>
  </si>
  <si>
    <t>untung</t>
  </si>
  <si>
    <t>hj by sea</t>
  </si>
  <si>
    <t>hj by air</t>
  </si>
  <si>
    <t>remarks</t>
  </si>
  <si>
    <t>capacity 100gr</t>
  </si>
  <si>
    <t>capacity 200gr</t>
  </si>
  <si>
    <t>capacity 750ml, silver</t>
  </si>
  <si>
    <t>battery powered</t>
  </si>
  <si>
    <t>rechargable</t>
  </si>
  <si>
    <t>swing bottle 500ml</t>
  </si>
  <si>
    <t>swing bottle 1000ml</t>
  </si>
  <si>
    <t>besar</t>
  </si>
  <si>
    <t>kecil</t>
  </si>
  <si>
    <t>175ml, logo, double wall</t>
  </si>
  <si>
    <t>175ml, no logo, double wall</t>
  </si>
  <si>
    <t>200ml, logo, single wall</t>
  </si>
  <si>
    <t>200ml, no logo, single wall</t>
  </si>
  <si>
    <t>handfan</t>
  </si>
  <si>
    <t>wechat
lanfeng</t>
  </si>
  <si>
    <t>500 pcs, ongkir ke gz itu itungan packaging, 23cm, ironwood fanbone, cloth fan surface, 15 days production</t>
  </si>
  <si>
    <t>1000 pcs, ongkir ke gz itu itungan packaging, 23cm, ironwood fanbone, cloth fan surface, 15 days production</t>
  </si>
  <si>
    <t>2000 pcs, ongkir ke gz itu itungan packaging, 23cm, ironwood fanbone, cloth fan surface, 15 days production</t>
  </si>
  <si>
    <t>yoga mat</t>
  </si>
  <si>
    <t>alibaba
sally huang</t>
  </si>
  <si>
    <t>For oval shape mat,
Size: 183*66 cm
Thickness: 4.5mm
Production time: 1 week</t>
  </si>
  <si>
    <t>soda siphon maker</t>
  </si>
  <si>
    <t>alibaba
roy feng</t>
  </si>
  <si>
    <t xml:space="preserve">
Size: 1000ml
Material: Aluminum
Color: white, black and silver
Production time: 1 week</t>
  </si>
  <si>
    <t>44*34*30</t>
  </si>
  <si>
    <t>Color: White
Material: Polyester cotton
GSM: 100-100g
This item is currently stocked in China and ships via air freight.</t>
  </si>
  <si>
    <t>Color: Black
Material: Polyester cotton
GSM: 135g
This item is currently stocked in China and ships via air freight.</t>
  </si>
  <si>
    <t>Color: Dark Gray, Light Gray, White
Material: Polyester cotton
GSM: 140g
This item is currently stocked in China and ships via air freight.</t>
  </si>
  <si>
    <t>Color: Black
Material: 30 GSM PP Non-Woven Fabric
Waist's size: 120 cm
Leg's size: 35 cm
This item is currently stocked in China and ships via air freight.</t>
  </si>
  <si>
    <t>rubber coaster</t>
  </si>
  <si>
    <t>alibaba
belly jarmoo</t>
  </si>
  <si>
    <t>One-Side design
Material PVC Rubber
Diameter: 9 cm
Thickness: 3 mm
Accept free-shape</t>
  </si>
  <si>
    <t>Touchscreen LED Spherical Ball</t>
  </si>
  <si>
    <t>made in china
Ruby</t>
  </si>
  <si>
    <t>Diameter: 0.6 m
Pixel Pitch: P2.5
Package includes:
- Flight Case
- mvb2s  procesor  
- Nova star receiver card
- Power cables
- signal cables
- connector pieces and screws
- spare  Power supply 220V 
- p2.5 led module
Warranty 3 years.
This item is currently stocked in China and ships via sea freight.</t>
  </si>
  <si>
    <t>Diameter: 1 m
Pixel Pitch: P2.5
Package includes:
- Flight Case
- mvb2s  procesor  
- Nova star receiver card
- Power cables
- signal cables
- connector pieces and screws
- spare  Power supply 220V 
- p2.5 led module
Warranty 3 years.
This item is currently stocked in China and ships via sea freight.</t>
  </si>
  <si>
    <t>Diameter: 1.5 m
Pixel Pitch: P2.5
Package includes:
- Flight Case
- mvb2s  procesor  
- Nova star receiver card
- Power cables
- signal cables
- connector pieces and screws
- spare  Power supply 220V 
- p2.5 led module
Warranty 3 years.
This item is currently stocked in China and ships via sea freight.</t>
  </si>
  <si>
    <t>Lunch Box</t>
  </si>
  <si>
    <t>Alibaba
Lucy Li</t>
  </si>
  <si>
    <t>Item No: LY01
Description: Donut shape 3 grids lunch box
Material: Foodgrade PP
Size: 18 x 17 x 9 cm
 Weight: 0.3 kg
Capacity: 810 ml
Packaging: Heat shrink film
MOQ: 48 pcs
Without additional logo
This item is currently stocked in China and ships via sea freight.</t>
  </si>
  <si>
    <t>Item No: LY02
Description: 2 layer lunch box
Material: Foodgrade PP
Size: 20.5 x 9.5 x 11 cm
 Weight: 0.43 kg
Capacity: 1,200 ml
Packaging: Heat shrink film
MOQ: 40 pcs
Without additional logo
This item is currently stocked in China and ships via sea freight.</t>
  </si>
  <si>
    <t>Item No: LY03
Description: Donut Shape 3 grids lunch box
Material: Foodgrade PP
Size: 18 x 17 x 9 cm
 Weight: 0.3 kg
Capacity: 810 ml
Packaging: Heat shrink film
MOQ: 60 pcs
Without additional logo
This item is currently stocked in China and ships via sea freight.</t>
  </si>
  <si>
    <t>Item No: LY04
Description: Lunch box
Material: Foodgrade PP
Size: 20.9 x 12 x 7.5 cm
 Weight: 0.31 kg
Capacity: 900 ml
Packaging: Heat shrink film
MOQ: 36 pcs
Without additional logo
This item is currently stocked in China and ships via sea freight.</t>
  </si>
  <si>
    <t>Item No: LY05
Description: Duck 2 grids lunch box
Material: 304 Stainless Steel + PP
Size: 22.5 x 14.5 x 8 cm
 Weight: 0.42 kg
Capacity: 1,000 ml
Packaging: Heat shrink film
MOQ: 48 pcs
Without additional logo
This item is currently stocked in China and ships via sea freight.</t>
  </si>
  <si>
    <t>Sambo Tumbler</t>
  </si>
  <si>
    <t>WeChat
Jane</t>
  </si>
  <si>
    <t>100 - 499</t>
  </si>
  <si>
    <t>500 - 999</t>
  </si>
  <si>
    <t>1,000 - 2,999</t>
  </si>
  <si>
    <t>3,000 - 4,999</t>
  </si>
  <si>
    <t>5,000 - 9,999</t>
  </si>
  <si>
    <t>Manicure set 6pcs</t>
  </si>
  <si>
    <t>Manicure set 8 pcs</t>
  </si>
  <si>
    <t>Tote Bag Kanvas Natural Two Tone Polos</t>
  </si>
  <si>
    <t>https://shopee.co.id/product/11738739/44327768126/</t>
  </si>
  <si>
    <t>tumbler</t>
  </si>
  <si>
    <t>wechat
jane</t>
  </si>
  <si>
    <t>3d holographic fan</t>
  </si>
  <si>
    <t>whatsapp
mia</t>
  </si>
  <si>
    <t>alumunium standing'</t>
  </si>
  <si>
    <t>Hot yoga studio infrared panel heater</t>
  </si>
  <si>
    <t>alibaba
Bella Qiu</t>
  </si>
  <si>
    <t>HT-0612
720watts
60×120cm
220V/60Hz
EU plug
With ceiling hardware
with remote controller and WiFi control function
- panel can use Wifi
- panel with remote controller
Warranty 5 years
Turnaround Time:
- The estimate duration of the production is 14 working days.
- This item is currently stocked in China and ships via sea freight.</t>
  </si>
  <si>
    <t>HT-0812
900watts
80×120cm
220V/60Hz
EU plug
With ceiling hardware
with remote controller and WiFi control function
- panel can use Wifi
-panel with remote controller
Warranty 5 years
Turnaround Time:
- The estimate duration of the production is 14 working days.
- This item is currently stocked in China and ships via sea freight.</t>
  </si>
  <si>
    <t>alibaba
Claire Zhang</t>
  </si>
  <si>
    <t>HX-800
800watts
60×120cm
Aluminum surfacefor ceiling
220V
EU plug
With ceiling hardware
With remote controller and WiFi control function
Warranty 3 years
Turnaround Time:
- The estimate duration of the production is 14 working days.
- This item is currently stocked in China and ships via sea freight.</t>
  </si>
  <si>
    <t>swing cap glass bottle</t>
  </si>
  <si>
    <t xml:space="preserve">capacity 500 ml
logo 2 sisi
</t>
  </si>
  <si>
    <t>Stackable Storage Box</t>
  </si>
  <si>
    <t>alibaba
sam liang</t>
  </si>
  <si>
    <t>Material: Plastic PP
Outer Diameter: 600 x 400 x 230 mm
Inner Diameter: 565 x 365 x 217 mm
Weight: 1.68 kg
Color: TBC
This item is currently stocked in China and ships via sea freight.</t>
  </si>
  <si>
    <t>Foldable Storage Box</t>
  </si>
  <si>
    <t>alibaba
sam liang or iris ma</t>
  </si>
  <si>
    <t>Material: Plastic PP
Outer Diameter: 600 x 400 x 230 mm
Inner Diameter: 565 x 365 x 215 mm
Size after folded: 600 x 400 x 80
Weight: 2.5 kg
Color: TBC
This item is currently stocked in China and ships via sea freight.</t>
  </si>
  <si>
    <t>Foldable Storage Box with Lid</t>
  </si>
  <si>
    <t>alibaba
ms fanny</t>
  </si>
  <si>
    <t>Material: Plastic PP
Outer Diameter: 600 x 400 x 240 mm
Inner Diameter: 560 x 360 x 230 mm
Color: TBC
This item is currently stocked in China and ships via sea freight.</t>
  </si>
  <si>
    <t>Material: Plastic PP
Outer Diameter: 600 x 400 x 265 mm
Inner Diameter: 560 x 360 x 240 mm
Color: TBC
This item is currently stocked in China and ships via sea freight.</t>
  </si>
  <si>
    <t>Polycarbonate Glass</t>
  </si>
  <si>
    <t>alibaba 
zena huang</t>
  </si>
  <si>
    <t>Product ID: 8962
Material: Polycarbonate (Clear Glass)
Size: Diameter 10.6*7.4*10.5 cm
Capacity: 265 ml
This item is currently stocked in China and ships via sea freight.</t>
  </si>
  <si>
    <t>Product ID: 8579
Material: Polycarbonate (Clear Glass)
Size: Diameter 8.7*14*17.4 cm
Capacity: 650 ml
This item is currently stocked in China and ships via sea freight.</t>
  </si>
  <si>
    <t>Product ID: 8580
Material: Polycarbonate (Clear Glass)
Size: Diameter 8.3*12.7*5.8 cm
Capacity: 500 ml
This item is currently stocked in China and ships via sea freight.</t>
  </si>
  <si>
    <t>Product ID: 8598
Material: Polycarbonate (Clear Glass)
Size: Diameter 11.6*7.6*14.2 cm
Capacity: 360 ml
This item is currently stocked in China and ships via sea freight.</t>
  </si>
  <si>
    <t>Product ID: 8597
Material: Polycarbonate (Clear Glass)
Size: Diameter 12.9*8.5*15.8 cm
Capacity: 510 ml
This item is currently stocked in China and ships via sea freight.</t>
  </si>
  <si>
    <t>Product ID: 9546
Material: Polycarbonate (Clear Glass)
Size: Diameter 11*7.5*13.4 cm
Capacity: 400 ml
This item is currently stocked in China and ships via sea freight.</t>
  </si>
  <si>
    <t>wechat
sally huang</t>
  </si>
  <si>
    <t>Material: PU Rubber
Thickness: 4.50 cm
Available in two shapes
Including custom logo and Yoga Mat Strap
● Turnaround Time:
- The estimate duration of the production is 10 working days.
- This item is currently stocked in China and ships via sea freight.</t>
  </si>
  <si>
    <t>yoga cork block</t>
  </si>
  <si>
    <t>Material: Cork
Including custom logo
● Turnaround Time:
- The estimate duration of the production is 10 working days.
- This item is currently stocked in China and ships via sea freight.</t>
  </si>
  <si>
    <t>yoga eva block</t>
  </si>
  <si>
    <t>Material: Eva Sponge
Including custom logo
● Turnaround Time:
- The estimate duration of the production is 10 working days.
- This item is currently stocked in China and ships via sea freight.</t>
  </si>
  <si>
    <t>bamboo jar</t>
  </si>
  <si>
    <t>wechat
murphy</t>
  </si>
  <si>
    <t>ss bottle spray</t>
  </si>
  <si>
    <t>wechat
carian</t>
  </si>
  <si>
    <t>Bamboo Cutting Board</t>
  </si>
  <si>
    <t>alibaba
amanda huang</t>
  </si>
  <si>
    <t>Bamboo Cutting Board
Size: 45 x 30 x 1 cm (Custom)
Including one-side engrave logo
LFGB Test Certificated is provided
Turnaround Time:
- The estimate duration of the production is 20 working days.
- This item is currently stocked in China and ships via sea freight.</t>
  </si>
  <si>
    <t>Bamboo Cutting Board
Size: 45 x 30 x 1 cm (Custom)
Including one-side engrave logo
LFGB Test Certificated is provided
Turnaround Time:
- The estimate duration of the production is 30 working days.
- This item is currently stocked in China and ships via sea freight.</t>
  </si>
  <si>
    <t>15 gr</t>
  </si>
  <si>
    <t>30 gr</t>
  </si>
  <si>
    <t>50 gr</t>
  </si>
  <si>
    <t>100 gr</t>
  </si>
  <si>
    <t>pu rubber yoga mat</t>
  </si>
  <si>
    <t>wechat
jasimin</t>
  </si>
  <si>
    <t>high density pu rubber yoga mat</t>
  </si>
  <si>
    <t>reagent glass bottle</t>
  </si>
  <si>
    <t>alibaba
celina wang</t>
  </si>
  <si>
    <t>usual glass bottle</t>
  </si>
  <si>
    <t>alibaba
yu song</t>
  </si>
  <si>
    <t>product detail</t>
  </si>
  <si>
    <t>https://www.boldestore.com/product-detail?handle=super-kettle-polaris</t>
  </si>
  <si>
    <t>https://shopee.co.id/product/507937691/20794586431?d_id=29e78&amp;uls_trackid=539k1d700027&amp;utm_content=24NkSULWNMVzCKjPJPdwEmZr6Bw5</t>
  </si>
  <si>
    <t>https://shopee.co.id/%E3%80%90RUMATIDY%E3%80%91MARIE-Termos-Air-Panas-Temperatur-Digital-1-Liter-Thermo-Kettle-Jug-Air-Panas-24-Jam-i.861375805.25569863845?sp_atk=936a3bc5-47c8-4faa-a075-a0c1c471a28e&amp;xptdk=936a3bc5-47c8-4faa-a075-a0c1c471a28e</t>
  </si>
  <si>
    <t>https://shopee.co.id/product/358564417/15098129858?d_id=29e78&amp;uls_trackid=539k31f70184&amp;utm_content=24NkSULWNMeutuTtMtrqZhvuyVTD</t>
  </si>
  <si>
    <t>https://shopee.co.id/product/981651128/24676529281?d_id=29e78&amp;uls_trackid=539k3r3g0027&amp;utm_content=24NkSULWNMiRQgoQ33koYaEMsHu9</t>
  </si>
  <si>
    <t>https://shopee.co.id/product/863097431/23600863826?d_id=fa1b2&amp;uls_trackid=539k4crn002f&amp;utm_content=35GYmDLePpPCfHpMbXmvSNRyWBNF</t>
  </si>
  <si>
    <t>dia 24</t>
  </si>
  <si>
    <t>dia 26</t>
  </si>
  <si>
    <t>dia 30</t>
  </si>
  <si>
    <t>dia 32</t>
  </si>
  <si>
    <t>240x160x160</t>
  </si>
  <si>
    <t>280x200x160</t>
  </si>
  <si>
    <t>5000 pcs, 330ml, with logo</t>
  </si>
  <si>
    <t>5000 pcs, 500ml, with logo</t>
  </si>
  <si>
    <t>wine dispenser and shot glass</t>
  </si>
  <si>
    <t>kelly zhang</t>
  </si>
  <si>
    <t>https://shopee.co.id/Wine-Dispenser-Glass-6-Shot-6-Gelas-Wine-Dispenser-Akrilik-Transparan-Dispenser-Beer-Wine-Party-Pesta-Acara-i.251363220.24272535628</t>
  </si>
  <si>
    <t>High borosilicate glass dispenser and wooden stand</t>
  </si>
  <si>
    <t>alibaba
lisa yu</t>
  </si>
  <si>
    <t>Material: High borosilicate glass
Capacity: 7.5 L
This item is currently stocked in China and ships via sea freight.</t>
  </si>
  <si>
    <t>polycarbonate dispenser and wooden stand</t>
  </si>
  <si>
    <t>https://www.ruparupa.com/informastore/m-p/appetite-dispenser-minuman-dengan-stand.html?utm_source=google&amp;utm_medium=cpc&amp;utm_campaign=on_informa_mf_pmax_web_purchase_group05_dapur_budgetads&amp;gad_source=1&amp;gad_campaignid=17339279668&amp;gbraid=0AAAAAC5kbJSXwX8KNqB1Sv2zO7J9hjNWa&amp;gclid=CjwKCAjwxfjGBhAUEiwAKWPwDq2K8DMphfcF5fMQYjZche0lZ6mXxPg7Jhn-vzml6shz_xxHAePgrBoC-AcQAvD_BwE</t>
  </si>
  <si>
    <t>Material: Polycarbonate
Capacity: 5 L
This item is currently stocked in Indonesia.</t>
  </si>
  <si>
    <t>polycarbonate dispenser and plastic based stand</t>
  </si>
  <si>
    <t>alibaba
cassie zhang</t>
  </si>
  <si>
    <t>Material: Polycarbonate
Capacity: 8.9 L
This item is currently stocked in China and ships via sea freight.</t>
  </si>
  <si>
    <t>polycarbonate dispenser</t>
  </si>
  <si>
    <t>alibaba
tweety wong</t>
  </si>
  <si>
    <t>Material: Polycarbonate
Capacity: 8 L
Dispenser only not including stand.
This item is currently stocked in China and ships via sea freight.</t>
  </si>
  <si>
    <t>330 ml PET Can</t>
  </si>
  <si>
    <t>https://shopee.co.id/Botol-Pet-Can-330ml-Softdrink-1-Dus-250pcs-Model-Kaleng-Soda-i.1046406480.26754740918</t>
  </si>
  <si>
    <t>● PET Can Juice ukuran tinggi = 11,5 cm, diameter mulut = 5,5 cm, diameter badan = 6,5 cm.
● Sudah termasuk : gelas plastik warna bening dan tutup aluminium (tidak pakai tutup plastik).
● Volume/isi = +/- 330 ml FULL
● Model seperti kaleng soda, tutupnya ada tuas untuk ditarik 👉 sekali pakai
MOQ: 300 pc
Harga belum termasuk logo, penambahansablon logo akan dikenakan tambahan biaya Rp1.000,-/pc</t>
  </si>
  <si>
    <t>500 ml PET Can</t>
  </si>
  <si>
    <t>https://shopee.co.id/Botol-Pet-Can-500ml-Tutup-Aluminium-Desain-Kaleng-Soda-i.1046406480.27854740798</t>
  </si>
  <si>
    <t>● PET Can Juice ukuran tinggi = 16,5cm, diameter mulut = 5,5 cm, diameter badan = 6,5 cm.
● Sudah termasuk : gelas plastik warna bening dan tutup aluminium (tidak pakai tutup plastik).
● Volume/isi = +/- 500ml FULL (tes menggunakan air mineral)
● Model seperti kaleng soda, tutupnya ada tuas untuk ditarik 👉 sekali pakai
MOQ: 300 pc
Harga belum termasuk logo, penambahansablon logo akan dikenakan tambahan biaya Rp1.000,-/pc</t>
  </si>
  <si>
    <t>3in1 500 ml Snack Tray without Lid</t>
  </si>
  <si>
    <t>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</t>
  </si>
  <si>
    <t>BAHAN
BODY: PP
TUTUP: PET
- CUP INJECTION NATURAL / BENING / CLEAR
- SNACK TRAY (TANPA TUTUP)
- STRAW / SEDOTAN
MOQ: 300 pc
Harga belum termasuk logo, penambahansablon logo akan dikenakan tambahan biaya Rp1.000,-/pc</t>
  </si>
  <si>
    <t>3in1 700 ml Snack Tray without Lid</t>
  </si>
  <si>
    <t>3in1 500 ml Snack Tray with Lid</t>
  </si>
  <si>
    <t>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</t>
  </si>
  <si>
    <t>1 Set Terdiri Dari Cup Minum, Mangkuk Snack, Tutup, Dan Sedotan
MOQ: 300 pc
Harga belum termasuk logo, penambahansablon logo akan dikenakan tambahan biaya Rp1.000,-/pc</t>
  </si>
  <si>
    <t>3in1 700 ml Snack Tray with Lid</t>
  </si>
  <si>
    <t>WeChat
Vivian</t>
  </si>
  <si>
    <t>Product ID: 9301
Material: Polycarbonate
Size: Diameter 9 x 15.6 cm
Capacity: 600 ml, 20 oz</t>
  </si>
  <si>
    <t>Product ID: 8837
Material: Polycarbonate
Size: Diameter 8 x 14 cm
Capacity: 370 ml, 12.5 oz</t>
  </si>
  <si>
    <t>Product ID: 6156
Material: Polycarbonate
Size: Diameter 8.3 x 14.3 cm
Capacity: 470 ml, 16 oz</t>
  </si>
  <si>
    <t>Product ID: 6267
Material: Polycarbonate (Frosted Glass)
Size: Diameter 7.0 x 11.1 cm
Capacity: 300 ml, 10 oz</t>
  </si>
  <si>
    <t>Product ID: 6267
Material: Polycarbonate (Frosted Glass)
Size: Diameter 7.0 x 11.1 cm
Capacity: 300 ml, 10 oz
Customization: One-Sided Logo (One color)</t>
  </si>
  <si>
    <t>Product ID: 6284
Material: Polycarbonate (Frosted Glass)
Size: Diameter 7.7 x 12.5 cm
Capacity: 400 ml, 13.5 oz</t>
  </si>
  <si>
    <t>Product ID: 6284
Material: Polycarbonate (Frosted Glass)
Size: Diameter 7.7 x 12.5 cm
Capacity: 400 ml, 13.5 oz
Customization: One-Sided Logo (One color)</t>
  </si>
  <si>
    <t>Product ID: 8501
Material: Polycarbonate (Frosted Glass)
Size: Diameter 7.2 x 12.5 cm
Capacity: 350 ml, 12 oz</t>
  </si>
  <si>
    <t>Product ID: 8501
Material: Polycarbonate (Frosted Glass)
Size: Diameter 7.2 x 12.5 cm
Capacity: 350 ml, 12 oz
Customization: One-Sided Logo</t>
  </si>
  <si>
    <t>Alibaba
Nemo Ho</t>
  </si>
  <si>
    <t>Product ID: NH0001
Material: Polycarbonate
Size: 6 x 7.6 x 14 cm
Capacity: 350 ml
Without Logo</t>
  </si>
  <si>
    <t>Alibaba
Melody Huang</t>
  </si>
  <si>
    <t>CF-235RKX
Material:Soda-lime glass
 Height:138mm
 Top-diameter:66mm
 Capacity:300l
 Packing:48pcs/carton
 HS code: 7013370000</t>
  </si>
  <si>
    <t xml:space="preserve">CF-1032AS
Material:Soda-lime glass
Height:146mm
Top-diameter:71mm
Capacity:380ml
Packing:48pcs/carton
HS code: 7013370000           </t>
  </si>
  <si>
    <t>CF-220AS
Material:Soda-lime glass
 Height:146mm
 Top-diameter:71mm
 Capacity:360ml
 Packing:36pcs/carton
 HS code: 7013370000</t>
  </si>
  <si>
    <t>CF-120AS
Material:Soda-lime glass
 Height:146mm
 Top-diameter:71mm
 Capacity:360ml
 Packing:36pcs/carton
 HS code: 7013370000</t>
  </si>
  <si>
    <t>Product ID: 6664
Material: Polycarbonate
Size: 8.2 x 13 cm
Capacity: 420 ml
Without Logo</t>
  </si>
  <si>
    <t>Product ID: 8836
Material: Polycarbonate
Size: 7 x 23.5 cm
Capacity: 390 ml
Without Logo</t>
  </si>
  <si>
    <t>Product ID: 6185
Material: Polycarbonate
Size: 8 x 23.8 cm
Capacity: 460 ml
Without Logo</t>
  </si>
  <si>
    <t>Product ID: 8949
Material: Polycarbonate
Size: 9.5 x 11.5 cm
Capacity: 500 ml
Without Logo</t>
  </si>
  <si>
    <t>Round Fruit Bowl</t>
  </si>
  <si>
    <t>Alibaba
Serena Fang</t>
  </si>
  <si>
    <t>Round-Shape Fruit Bowl
Material: SUS201
Size: 400 x 195 x 400 mm</t>
  </si>
  <si>
    <t>Moon Fruit Bowl</t>
  </si>
  <si>
    <t>Moon-Shape Fruit Bowl
Material: SUS201
Size: 400 x 195 x 400 mm</t>
  </si>
  <si>
    <t>Glass Bottle</t>
  </si>
  <si>
    <t>Alibaba
Caroline Xu</t>
  </si>
  <si>
    <t>Material: Transparent Soda-Lime Glass with Stainless Steel Lid
Capacity: 750 ml
Including one-color custom logo
● Turnaround Time:
- The estimate duration of the production is 14 working days.
- This item is currently stocked in China and ships via sea freight.</t>
  </si>
  <si>
    <t>Material: Transparent Glass Pitcher with Stainless Steel Lid and Silicon Sleeve
Capacity: 1,000 ml
Including one-color custom logo
● Turnaround Time:
- The estimate duration of the production is 14 working days.
- This item is currently stocked in China and ships via sea freight.</t>
  </si>
  <si>
    <t>Material: Transparent Glass Pitcher with Plastic Lid
Capacity: 800 ml
Including one-color custom logo
● Turnaround Time:
- The estimate duration of the production is 14 working days.
- This item is currently stocked in China and ships via sea freight.</t>
  </si>
  <si>
    <t>ABS Locker</t>
  </si>
  <si>
    <t>Alibaba
Rena Cui</t>
  </si>
  <si>
    <t>Material: ABS
Size: 700 x 500 x 382 mm
Key: 4-digit combination lock
● Turnaround Time:
- The estimate duration of the production is 14 working days.
- This item is currently stocked in China and ships via sea freight.</t>
  </si>
  <si>
    <t>9ft shuffleboard table</t>
  </si>
  <si>
    <t>Alibaba
Safina Zhao</t>
  </si>
  <si>
    <t>12ft shuffleboard table</t>
  </si>
  <si>
    <t>PC Glass</t>
  </si>
  <si>
    <t>Product ID: 6190
Material: Polycarbonate
Size: Dia 8.4x9.7 cm
Capacity: 300ml,10oz
Without Logo</t>
  </si>
  <si>
    <t>Gelas Wine Kaca Whiskey</t>
  </si>
  <si>
    <t>https://shopee.co.id/product/775301342/23556585609/</t>
  </si>
  <si>
    <t>Material: Kaca
Diameter : 8.3cm
Tinggi : 9.1cm
Volume : 290ml</t>
  </si>
  <si>
    <t>Gelas Plastik Mutiara</t>
  </si>
  <si>
    <t>https://shopee.co.id/product/1980705/19184251808/</t>
  </si>
  <si>
    <t>Material: Plastic
Size      : 8D x 9H cm
Capacity : 300ml</t>
  </si>
  <si>
    <t>Material: Plastic
Size      : 8,5D x 13H cm
Capacity : 500ml</t>
  </si>
  <si>
    <t>Mushroom glass</t>
  </si>
  <si>
    <t>alibaba
jolie yu</t>
  </si>
  <si>
    <t>resin glass</t>
  </si>
  <si>
    <t>alibaba
summer liu</t>
  </si>
  <si>
    <t>rechargable candle</t>
  </si>
  <si>
    <t>alibaba
lynne lin</t>
  </si>
  <si>
    <t>Set configuration: 6 candles, 1 remote control, 1 1-meter charging cable, 1 charging dock for one to six.
Candle size: Diameter 22MM, height 24.5cm
The charging base measures 13x11x3cm
Rechargeable 350mA lithium battery. 1 hour to fully charge and can be used for more than 60 hours after full charge
Outer box dimensions: 52x42.5x44cm (30 sets per box), 18KG</t>
  </si>
  <si>
    <t>Set configuration: 12 candles, 1 charging base, and 1 USB charging cable, 1 remote control.
Candle size: D3.9XH6CM (including the height of the flame head 2.3CM).
Rechargeable 300Mah lithium battery. After charging for 3 hours, the light stays on for over 75 hours
Outer box size: 30 sets /ctn, 56*34*49cm, 14.5KGS</t>
  </si>
  <si>
    <t>Set configuration: 12 candles, 1 charging base, and 1 USB charging cable, 1 remote control.
Candle size: D3.9XH6CM (including the height of the flame head 2.3CM).
Frosted plastic cup size: D4.5XH10CM
Rechargeable 300Mah lithium battery. After charging for 3 hours, the light stays on for over 75 hours
16 sets per outer box, outer box dimensions: 55*35*35cm, 15KG</t>
  </si>
  <si>
    <t>single layer golf umbrella with reinforced strap</t>
  </si>
  <si>
    <t>alibaba
deissie zheng</t>
  </si>
  <si>
    <t>digital printing</t>
  </si>
  <si>
    <t>double layer golf umbrella with reinforced strap</t>
  </si>
  <si>
    <t>silk screen printing</t>
  </si>
  <si>
    <t>golf umbrella with anti-wind structure</t>
  </si>
  <si>
    <t>single layer golf umbrella with windproof frame</t>
  </si>
  <si>
    <t>double layer golf umbrella with windproof frame</t>
  </si>
  <si>
    <t>frosted amber bottle with black pump lid</t>
  </si>
  <si>
    <t>alibaba
alice jiang</t>
  </si>
  <si>
    <t>Capacity: 250 ml
Black pump lid
This item is currently stocked in China and ships via sea freight.
● Turnaround Time:
- The estimate duration of the production is 14 working days.</t>
  </si>
  <si>
    <t>Capacity: 500 ml
Black pump lid
This item is currently stocked in China and ships via sea freight.
● Turnaround Time:
- The estimate duration of the production is 14 working days.</t>
  </si>
  <si>
    <t>frosted amber bottle with black spray lid</t>
  </si>
  <si>
    <t>Capacity: 250 ml
Black spray lid
This item is currently stocked in China and ships via sea freight.
● Turnaround Time:
- The estimate duration of the production is 14 working days.</t>
  </si>
  <si>
    <t>Capacity: 500 ml
Black spray lid
This item is currently stocked in China and ships via sea freight.
● Turnaround Time:
- The estimate duration of the production is 14 working days.</t>
  </si>
  <si>
    <t>frosted amber bottle with gold pump lid</t>
  </si>
  <si>
    <t>Capacity: 250 ml
Golden pump lid
This item is currently stocked in China and ships via sea freight.
● Turnaround Time:
- The estimate duration of the production is 14 working days.</t>
  </si>
  <si>
    <t>Capacity: 500 ml
Golden pump lid
This item is currently stocked in China and ships via sea freight.
● Turnaround Time:
- The estimate duration of the production is 14 working days.</t>
  </si>
  <si>
    <t>bamboo tag</t>
  </si>
  <si>
    <t>custom hampers a</t>
  </si>
  <si>
    <t>wechat
mandy</t>
  </si>
  <si>
    <t>custom hampers b</t>
  </si>
  <si>
    <t>link</t>
  </si>
  <si>
    <t>hpp</t>
  </si>
  <si>
    <t>ongkir ke ho</t>
  </si>
  <si>
    <t>ongkir ke vendor</t>
  </si>
  <si>
    <t>ongkos logo</t>
  </si>
  <si>
    <t>ongkir balik ke ho</t>
  </si>
  <si>
    <t>ongkos packaging</t>
  </si>
  <si>
    <t>ongkos packer</t>
  </si>
  <si>
    <t>ongkir ke client</t>
  </si>
  <si>
    <t>harga jual</t>
  </si>
  <si>
    <t>blooming deal</t>
  </si>
  <si>
    <t>https://shopee.co.id/Portable-Cup-Tumbler-Coffee-Mug-Coffee-Tea-Cup-Stainless-Steel-300ml-(SSB05)-i.4940301.23310592030</t>
  </si>
  <si>
    <t>https://shopee.co.id/Take-Away-Tumbler-Carry-Coffee-Mug-Stainless-Steel-dengan-Gantungan-550-ml-(ST8205)-i.4940301.41211167597</t>
  </si>
  <si>
    <t>https://shopee.co.id/Tumbler-Mug-Rose-Dua-Sisi-Datar-Polos-Stainless-Steel-475-ml-Dupe-Corkc*cle-i.4940301.26460474318</t>
  </si>
  <si>
    <t>https://shopee.co.id/Tumbler-Stainless-Steel-Polos-Tutup-Kayu-Vacuum-Insulated-500ml-(HN2077)-i.4940301.28676934054</t>
  </si>
  <si>
    <t>https://shopee.co.id/Tumbler-Polos-Stainless-Steel-dengan-Handle-Silikon-470ml-(HN2053)-i.4940301.28776934407</t>
  </si>
  <si>
    <t>https://shopee.co.id/Coffee-Mug-Coffee-Tea-Cup-Stainless-Steel-Polos-350ml-(ST9133)-i.4940301.40053820183?sp_atk=64dd6ee6-6396-406d-8fed-4d3edfb76734&amp;xptdk=64dd6ee6-6396-406d-8fed-4d3edfb76734</t>
  </si>
  <si>
    <t>https://shopee.co.id/Coaster-rubber-design-custom-i.18420168.41406519924</t>
  </si>
  <si>
    <t>One-Side design
Material PVC Rubber
Diameter: 9 cm
Thickness: 3.5 - 4 mm
Not accept free-shape</t>
  </si>
  <si>
    <t>Foldable Golf Umbrella</t>
  </si>
  <si>
    <t>tazada payung</t>
  </si>
  <si>
    <t>Payung golf lipat 2
Buka Otomatis
Brand GRC
Tinggi: +- 53 cm
Diameter: +- 121 cm
Rangka fiber
Gagang busa
Sudah termasuk logo dan ongkos kirim ke alamat tujuan.</t>
  </si>
  <si>
    <t>Foldable Bottle Umbrella</t>
  </si>
  <si>
    <t>Payung lipat botol
Buka Manual
Brand Nagoya
Tinggi: +- 58 cm
Diameter: +- 95 cm
Rangka besi
Gagang plastik
Sudah termasuk logo dan ongkos kirim ke alamat tujuan.</t>
  </si>
  <si>
    <t>Non-Foldable Transparent Umbrella</t>
  </si>
  <si>
    <t>Payung standart transparan
Buka Otomatis
Brand Nagoya
Tinggi: +- 85 cm
Diameter: +- 95 cm
Rangka besoo
Gagang plastik
Sudah termasuk logo dan ongkos kirim ke alamat tujuan.</t>
  </si>
  <si>
    <t>Colada Tumbler</t>
  </si>
  <si>
    <t>https://shopee.co.id/Botol-air-Minum-Plastik-Tumbler-Colada-500ml-Souvernir-Berkualitas-i.119311106.5578250415?xptdk=3417aca5-33f6-4ab2-89f3-06c343aaea06</t>
  </si>
  <si>
    <t>Material: Plastic
Capacity: 500 ml
Available in Red, Blue, Orange, Tosca colors
Printing method: Sablon</t>
  </si>
  <si>
    <t>Free Sip Twist Tumbler</t>
  </si>
  <si>
    <t>https://shopee.co.id/Tumbler-Freesip-Twist-Look-Stainless-SUS-304-2-Model-Cara-Minum-Sedot-Teguk-Gantungan-Anti-Bocor-i.881892636.27141446683?xptdk=b814d12b-0250-40b7-bedd-0f409b3693bb</t>
  </si>
  <si>
    <t>Material: SUS304
Capacity: 510 ml
Available in White, Blue, Green, Yellow colors
Including custom box packaging
Printing method: Engrave Print or UV Print</t>
  </si>
  <si>
    <t>Free Sip Tumbler</t>
  </si>
  <si>
    <t>https://shopee.co.id/Tumbler-Minum-Freesip-Botol-Thermos-Aesthetic-Insulated-Stainless-Steel-SUS304-Vacuum-Flask-600ml-710ml-i.8583074.42702515838?xptdk=9e8e9b11-0c76-4842-a732-65f497ab3266</t>
  </si>
  <si>
    <t>Material: SUS304
Capacity: 560 ml
Including custom box packaging
Printing method: Engrave Print or UV Print</t>
  </si>
  <si>
    <t>Biggo Tumbler</t>
  </si>
  <si>
    <t>https://shopee.co.id/%F0%9D%97%A0%F0%9D%97%AE%F0%9D%98%81%F0%9D%97%AE%F0%9D%97%BA%F0%9D%97%AE%F0%9D%98%81%F0%9D%97%AE-%F0%9D%97%9A%F0%9D%97%BF%F0%9D%97%BC%F0%9D%98%80%F0%9D%97%B6%F0%9D%97%BF-Botol-Tumbler-Stainless-316-Warna-Lucu-650ml-Dengan-Gagang-Sedotan-Termos-Gagang-i.1229920039.44155910701?xptdk=34d1ef79-458e-47d4-a81c-d2a78972e500</t>
  </si>
  <si>
    <t>Material: SUS316
Capacity: 650 ml
Including custom box packaging
Printing method: Engrave Print or UV Print</t>
  </si>
  <si>
    <t>Jumbo Bottle Sport</t>
  </si>
  <si>
    <t>https://shopee.co.id/Tumbler-Termos-Botol-Sport-Jumbo-Stainless-Steel-Double-Wall-600-800-1000-ml-(SD1211)-i.4940301.24460535296?xptdk=28498f2e-b577-44eb-b0de-a23fbb99f83a</t>
  </si>
  <si>
    <t>Material: SUS304
Capacity: 1,000 ml
Including custom box packaging
Printing method: Engrave Print or UV Print</t>
  </si>
  <si>
    <t>Geo Mug</t>
  </si>
  <si>
    <t>https://shopee.co.id/Tumbler-Mug-Kopi-Geometris-Bear-Coffee-Mug-dengan-Sedotan-600ml-(HN242-HN243-HN250)-i.4940301.25903352677?xptdk=1d9498aa-efb8-4ac5-b915-882c1f9a9464</t>
  </si>
  <si>
    <t>Material: SUS304
Capacity: 600 ml
Available in Blue color
Including custom box packaging
Printing method: Engrave Print or UV Print</t>
  </si>
  <si>
    <t>Cardigan Tumbler</t>
  </si>
  <si>
    <t>https://shopee.co.id/Tumbler-Cardigan-Termos-Stainless-Steel-Dengan-Gantungan-350ml-500-ml-(HN2107-HN2108)-i.4940301.28590093986?xptdk=47d47d09-dfd5-4840-8920-1168b6f708a6</t>
  </si>
  <si>
    <t>Material: SUS304
Capacity: 500 ml
Available in Random color
Including custom box packaging
Printing method: Engrave Print or UV Print</t>
  </si>
  <si>
    <t>Custom Buff</t>
  </si>
  <si>
    <t>https://shopee.co.id/Custom-Bandana-Multifungsi-Satuan-Fullprint-i.154613273.5476538643?xptdk=eab51e4c-3264-4f62-9371-fadb384e643e</t>
  </si>
  <si>
    <t>Custom Jacket</t>
  </si>
  <si>
    <t>https://shopee.co.id/product/218155725/14025584383</t>
  </si>
  <si>
    <t>Backpack M1</t>
  </si>
  <si>
    <t xml:space="preserve">https://id.shp.ee/M9Km3MG </t>
  </si>
  <si>
    <t>Material: Oxford
Size: 45 x 30 x 15 cm
Available in Black, Navy, and Gray color.</t>
  </si>
  <si>
    <t>Backpack M2</t>
  </si>
  <si>
    <t>https://shopee.co.id/Tas-Ransel-Backpack-Fashion-Tas-Punggung-Sport-Unisex-Tas-Laptop-USB-Tas-Sekolah-Polos-WY24-i.1183133133.25972876749?extraParams=%7B%22display_model_id%22%3A242560755052%2C%22model_selection_logic%22%3A3%7D&amp;sp_atk=f1c9056d-8a7a-4d37-837e-655f1dd5d01b&amp;xptdk=f1c9056d-8a7a-4d37-837e-655f1dd5d01b</t>
  </si>
  <si>
    <t>Material: Micro
Size: 30 x 40 x 13 cm
Available in Black, Navy, and Gray color.</t>
  </si>
  <si>
    <t>Backpack M3</t>
  </si>
  <si>
    <t>https://shopee.co.id/Best-Seller!!!-Tas-Ransel-Laptop-Ransel-Pria-Wanita-Span-PU-Hitam-i.373230386.28607299923?extraParams=%7B%22display_model_id%22%3A195294521256%2C%22model_selection_logic%22%3A3%7D&amp;sp_atk=65b696ef-28b0-43fb-9110-c3848fe90d1d&amp;xptdk=65b696ef-28b0-43fb-9110-c3848fe90d1d</t>
  </si>
  <si>
    <t>Material: Span PU
Size: 30 x 42 x 15 cm
Available in Black, Blue, Army and Gray color.</t>
  </si>
  <si>
    <t>Backpack M4</t>
  </si>
  <si>
    <t>https://shopee.co.id/FITRAS-Tas-Ransel-Pria-Wanita-Anti-Air-Tas-Laptop-Punggung-Warna-Hitam-i.965547321.40110652981?extraParams=%7B%22display_model_id%22%3A265896165755%2C%22model_selection_logic%22%3A3%7D&amp;sp_atk=8a298018-1426-4d57-a7f6-68aa0cdeadb7&amp;xptdk=8a298018-1426-4d57-a7f6-68aa0cdeadb7</t>
  </si>
  <si>
    <t>Material: Nylon Bimo
Size: 43 x 33 cm
Available in Black, Navy, Army and Gray color.</t>
  </si>
  <si>
    <t>Backpack M5</t>
  </si>
  <si>
    <t>https://shopee.co.id/TAS-RANSEL-OCEVA-BACKPACK-PREMIUM-QUALITY-WATERPROOF-LAPTOP-PRIA-WANITA-TAS-SEKOLAH-KULIAH-KERJA-BYR-05-i.69940689.18265443603?extraParams=%7B%22display_model_id%22%3A213361701778%2C%22model_selection_logic%22%3A3%7D&amp;sp_atk=d3751565-4164-423a-bc89-a8b68a008c00&amp;xptdk=d3751565-4164-423a-bc89-a8b68a008c00</t>
  </si>
  <si>
    <t>Material: Span PU
Size: 30 x 42 x 15 cm
Available in Black color.</t>
  </si>
  <si>
    <t>Baseus Powerbank</t>
  </si>
  <si>
    <t>https://shopee.co.id/product/223032375/41752956272?gads_t_sig=VTJGc2RHVmtYMTlxTFVSVVRrdENkWVp3RFo3Mkw5czd4Z0hzdEF1WVFibmZ3WWxwU3pMb2RyRW8rYmRJaWkxOWJmWG5peWpFd0lUTVcyVXFXbDBCY0V4RGNkK01ROHZGZEZmaVk0YzIxSGVrK1g1MnJPb21WVWFBdGtxOVFQMDMxQVpqZC9lNlJxMG1kYlRlaFVwa3l3PT0&amp;is_seller=true&amp;utm_campaign=s223032375_ss_id_gmax_pmax-maximizeconv&amp;utm_source=google&amp;utm_medium=seller&amp;utm_content=audio&amp;gad_source=4&amp;gad_campaignid=22579784612&amp;gbraid=0AAAAA_Yfeqj51dbW4m8f9tQvu2B09jf7i&amp;gclid=CjwKCAiA8bvIBhBJEiwAu5ayrCYdGQ9oSAy_iLTjwqqgSff0ugbOlBNkljrp9Nfuxw74c1rehX7-fBoCal4QAvD_BwE</t>
  </si>
  <si>
    <t>Name: Baseus QPow 3 Digital Display Fast Charging Power Bank
Model No.: PPQD3-1022D
Color: Cosmic Black、Galaxy Blue Moon White、Nebula Purple
Weight: ≈214.8g (packaging not included)
Capacity: 10000mAh 3.65V/36.5Wh
Cell: 5000mAh*2pcs
Cable Input: USB-C/USB-C: 5V=3A; 9V = 2.22A; 12V = 1.5A
iP Cable Output: 5V 2.4A; 9V = 2.22AUSB-C/USB-C
Cable Output; 5V 2.4A; 9V = 2.22A; 12V = 1.5A; = 10V 2.25A
USB-A Output; 5V 2.4A; 9V=2A; 12V = 1.5A; 10V = 2.25A;
Total Output; 5V-2.4A</t>
  </si>
  <si>
    <t>Xiaomi Powerbank</t>
  </si>
  <si>
    <t>https://shopee.co.id/product/51925611/4818767491?gads_t_sig=VTJGc2RHVmtYMTlxTFVSVVRrdENkVEg0SDd3VWo1MDQyT052d3EvY1B4WlVsa240WmVINkNkM2lZQVlqTmR3cjNJQnNHTDhmaHhoRzRST3orQ1lmemhhMWgxRzJqUU80Yy8zK2w2WUJYVkZzdEFQT1A3OWw5RDR1UFZUVnNmeWY</t>
  </si>
  <si>
    <t>Xiaomi Redmi Powerbank 18W Fast Charge 20.000 mAh
Memiliki kapasitas daya murni 20000mAh | Energi 74Wh (3.7V, 20000mAh)
Mampu melakukan pengisian cepat dua arah 18W
• Power bank mendukung maksimal Input daya 18W melalui port Micro USB atau USB-C;
• Power bank mendukung maksimal Output daya 18W untuk port USB-A tunggal.
Sesuai dengan Internasional Standar Penerbangan, aman untuk dibawa di pesawat.
Memiliki 4 port
• Port USB-C dan Micro-USB port untuk input, satu pilihan tambahan untuk mengisi daya Power Bank;
• 2 port USB-A untuk output, mengisi daya 2 perangkat sekaligus secara bersamaan.</t>
  </si>
  <si>
    <t>Standard Medal</t>
  </si>
  <si>
    <t>Whatsapp
Medali lari id</t>
  </si>
  <si>
    <t>Spinning Medal</t>
  </si>
  <si>
    <t>Buka tutup Medal</t>
  </si>
  <si>
    <t>2in1 buka tutup and spinning</t>
  </si>
  <si>
    <t>Material : Kanvas Natural Kombinasi Kanvas Raphael Polyester
Available in Red, Navy, Green, Black, Blue color</t>
  </si>
  <si>
    <t>https://shopee.co.id/OSM-JKT-T6536-Tas-Makeup-Puffy-Unik-Pouch-Travel-Mini-Serbaguna-Makeup-Storage-Bag-Bahan-Lembut-Tas-Puffy-Lucu-Multifungsi-Tas-Fashion-i.231799972.29472581813</t>
  </si>
  <si>
    <t>- Bahan : nylon polyester (diisi dengan bulu/busa halus)
- Ukuran : 19.5cm x 16.5cm x 7.5cm
Available in Pink, Purple, Rose, and Green color</t>
  </si>
  <si>
    <t>https://shopee.co.id/product/533415044/27513626606?d_id=37c0c&amp;uls_trackid=554sufma01f9&amp;utm_content=mYiSos3PAo8C3ZA1t7k7bfeNSCf</t>
  </si>
  <si>
    <t>- Bahan : PU Leather
- Ukuran : 25*16.5*H10.5cm
Available in Cream, Green, and Black color</t>
  </si>
  <si>
    <t>https://shopee.co.id/Tas-Kosmetik-Washbag-Pouch-make-up-Cosmetic-Bag-Organizer-Tas-Make-Up-Tas-Kosmetik-Anti-Air-Tas-Kosmetik-Travel-Transparan-Pouch-Kosmetik-Makeup-Bag-i.533415044.19060487646</t>
  </si>
  <si>
    <t>- Bahan : PU Leather
- Ukuran : 25*13*H12cm
Available in Cream, Pink, Mocha, and Black color</t>
  </si>
  <si>
    <t>tumbler kaca 1</t>
  </si>
  <si>
    <t>sl sby
wa</t>
  </si>
  <si>
    <t>tumbler kaca 2</t>
  </si>
  <si>
    <t>tumbler kaca 3</t>
  </si>
  <si>
    <t>tumbler kaca 4</t>
  </si>
  <si>
    <t>patch bordir</t>
  </si>
  <si>
    <t>https://shopee.co.id/product/44190691/5541254375?gads_t_sig=VTJGc2RHVmtYMTlxTFVSVVRrdENkYmtjM2ptSThtQnlIMHo4VnVHYmxTeG92eVdxK2FlZEhZMFpSSXVDeXRyUDdmRDRoSDZPUjZhVDNQQm5LK0JUeTdMclJhTmdKMHFYUzZ6eldaSnNkcWIzNnpiU0VYVDNuWjlRM2lqNWlSK0w&amp;gad_source=1&amp;gad_campaignid=22327396013&amp;gbraid=0AAAAADPpU80SVSmF1WvSlgYPxnvjNs7hh&amp;gclid=Cj0KCQjw4a3OBhCHARIsAChaqJO-kIEqWY2vpNjdPfbK4yqlrXWBbKO5gHFmz80q95g-RLMCqjq-OH4aAi64EALw_wcB</t>
  </si>
  <si>
    <t>Rate</t>
  </si>
  <si>
    <t>CBM</t>
  </si>
  <si>
    <t>Kurs</t>
  </si>
  <si>
    <t>Kurs in IDR</t>
  </si>
  <si>
    <t>Total per 2 cbm</t>
  </si>
  <si>
    <t>Total per cbm</t>
  </si>
  <si>
    <t>xx 1</t>
  </si>
  <si>
    <t>xx 2</t>
  </si>
  <si>
    <t>xx 3</t>
  </si>
  <si>
    <t>xx 4</t>
  </si>
  <si>
    <t>cfs</t>
  </si>
  <si>
    <t>doc</t>
  </si>
  <si>
    <t>cus</t>
  </si>
  <si>
    <t>vgm</t>
  </si>
  <si>
    <t>ebs</t>
  </si>
  <si>
    <t>handling</t>
  </si>
  <si>
    <t>FE</t>
  </si>
  <si>
    <t>export license</t>
  </si>
  <si>
    <t>clearance</t>
  </si>
  <si>
    <t>red line</t>
  </si>
  <si>
    <t>PIB</t>
  </si>
  <si>
    <t>admin</t>
  </si>
  <si>
    <t>undername</t>
  </si>
  <si>
    <t>asuransi</t>
  </si>
  <si>
    <t>order</t>
  </si>
  <si>
    <t>mata uang</t>
  </si>
  <si>
    <t>uang masuk</t>
  </si>
  <si>
    <t>pot pay pal %</t>
  </si>
  <si>
    <t>um bersih paypal</t>
  </si>
  <si>
    <t>in idr</t>
  </si>
  <si>
    <t>pot tarik bank lokal</t>
  </si>
  <si>
    <t>omzet ke bank lokal</t>
  </si>
  <si>
    <t>harga jual per pc bersih</t>
  </si>
  <si>
    <t>harga jual per pc kotor</t>
  </si>
  <si>
    <t>umbrella adoor</t>
  </si>
  <si>
    <t>euro</t>
  </si>
  <si>
    <t>handuk 20 pcs</t>
  </si>
  <si>
    <t>40*40*35cm. G.W:12kg</t>
  </si>
  <si>
    <t xml:space="preserve">rumput UK </t>
  </si>
  <si>
    <t>ONGK JAS IMP
12-15 DAYS
6-8 DAYS</t>
  </si>
  <si>
    <t>INDO FORW</t>
  </si>
  <si>
    <t>TGI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</si>
</sst>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[$Rp]#,##0"/>
  </numFmts>
  <fonts count="17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0"/>
      <name val="Calibri"/>
    </font>
    <font>
      <color theme="0"/>
      <name val="Arial"/>
      <scheme val="minor"/>
    </font>
    <font>
      <sz val="8.0"/>
      <color rgb="FFFF0000"/>
      <name val="Calibri"/>
    </font>
    <font>
      <color theme="1"/>
      <name val="Arial"/>
      <scheme val="minor"/>
    </font>
    <font>
      <b/>
      <sz val="17.0"/>
      <color rgb="FF222222"/>
      <name val="Roboto"/>
    </font>
    <font>
      <sz val="15.0"/>
      <color rgb="FF000000"/>
      <name val="Roboto"/>
    </font>
    <font>
      <u/>
      <color rgb="FF0000FF"/>
    </font>
    <font>
      <sz val="11.0"/>
      <color rgb="FF333333"/>
      <name val="Roboto"/>
    </font>
    <font>
      <color theme="1"/>
      <name val="Arial"/>
    </font>
    <font>
      <sz val="12.0"/>
      <color rgb="FF333333"/>
      <name val="Roboto"/>
    </font>
    <font>
      <i/>
      <color theme="1"/>
      <name val="Arial"/>
      <scheme val="minor"/>
    </font>
    <font>
      <sz val="11.0"/>
      <color rgb="FF000000"/>
      <name val="Roboto"/>
    </font>
    <font>
      <sz val="18.0"/>
      <color theme="1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readingOrder="0" shrinkToFit="0" vertical="bottom" wrapText="0"/>
    </xf>
    <xf borderId="0" fillId="0" fontId="4" numFmtId="0" xfId="0" applyFont="1"/>
    <xf borderId="0" fillId="0" fontId="1" numFmtId="3" xfId="0" applyAlignment="1" applyFont="1" applyNumberFormat="1">
      <alignment horizontal="right" readingOrder="0" shrinkToFit="0" vertical="bottom" wrapText="0"/>
    </xf>
    <xf borderId="0" fillId="5" fontId="2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6" fontId="7" numFmtId="0" xfId="0" applyAlignment="1" applyFill="1" applyFont="1">
      <alignment readingOrder="0"/>
    </xf>
    <xf borderId="0" fillId="0" fontId="6" numFmtId="3" xfId="0" applyAlignment="1" applyFont="1" applyNumberFormat="1">
      <alignment readingOrder="0"/>
    </xf>
    <xf borderId="0" fillId="6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6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7" fontId="12" numFmtId="0" xfId="0" applyAlignment="1" applyFill="1" applyFont="1">
      <alignment readingOrder="0" shrinkToFit="0" wrapText="0"/>
    </xf>
    <xf borderId="0" fillId="0" fontId="13" numFmtId="0" xfId="0" applyFont="1"/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6" fontId="14" numFmtId="0" xfId="0" applyAlignment="1" applyFont="1">
      <alignment readingOrder="0"/>
    </xf>
    <xf borderId="1" fillId="0" fontId="15" numFmtId="0" xfId="0" applyAlignment="1" applyBorder="1" applyFont="1">
      <alignment horizontal="center" readingOrder="0"/>
    </xf>
    <xf borderId="0" fillId="0" fontId="6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5" xfId="0" applyFont="1" applyNumberFormat="1"/>
    <xf borderId="0" fillId="6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20" Type="http://schemas.openxmlformats.org/officeDocument/2006/relationships/image" Target="../media/image23.jpg"/><Relationship Id="rId41" Type="http://schemas.openxmlformats.org/officeDocument/2006/relationships/image" Target="../media/image34.png"/><Relationship Id="rId22" Type="http://schemas.openxmlformats.org/officeDocument/2006/relationships/image" Target="../media/image56.png"/><Relationship Id="rId21" Type="http://schemas.openxmlformats.org/officeDocument/2006/relationships/image" Target="../media/image58.png"/><Relationship Id="rId24" Type="http://schemas.openxmlformats.org/officeDocument/2006/relationships/image" Target="../media/image37.png"/><Relationship Id="rId23" Type="http://schemas.openxmlformats.org/officeDocument/2006/relationships/image" Target="../media/image61.png"/><Relationship Id="rId1" Type="http://schemas.openxmlformats.org/officeDocument/2006/relationships/image" Target="../media/image14.jpg"/><Relationship Id="rId2" Type="http://schemas.openxmlformats.org/officeDocument/2006/relationships/image" Target="../media/image70.png"/><Relationship Id="rId3" Type="http://schemas.openxmlformats.org/officeDocument/2006/relationships/image" Target="../media/image41.png"/><Relationship Id="rId4" Type="http://schemas.openxmlformats.org/officeDocument/2006/relationships/image" Target="../media/image24.png"/><Relationship Id="rId9" Type="http://schemas.openxmlformats.org/officeDocument/2006/relationships/image" Target="../media/image3.jpg"/><Relationship Id="rId26" Type="http://schemas.openxmlformats.org/officeDocument/2006/relationships/image" Target="../media/image85.png"/><Relationship Id="rId25" Type="http://schemas.openxmlformats.org/officeDocument/2006/relationships/image" Target="../media/image33.png"/><Relationship Id="rId28" Type="http://schemas.openxmlformats.org/officeDocument/2006/relationships/image" Target="../media/image16.png"/><Relationship Id="rId27" Type="http://schemas.openxmlformats.org/officeDocument/2006/relationships/image" Target="../media/image15.png"/><Relationship Id="rId5" Type="http://schemas.openxmlformats.org/officeDocument/2006/relationships/image" Target="../media/image5.jpg"/><Relationship Id="rId6" Type="http://schemas.openxmlformats.org/officeDocument/2006/relationships/image" Target="../media/image1.jpg"/><Relationship Id="rId29" Type="http://schemas.openxmlformats.org/officeDocument/2006/relationships/image" Target="../media/image11.png"/><Relationship Id="rId7" Type="http://schemas.openxmlformats.org/officeDocument/2006/relationships/image" Target="../media/image10.jpg"/><Relationship Id="rId8" Type="http://schemas.openxmlformats.org/officeDocument/2006/relationships/image" Target="../media/image12.jpg"/><Relationship Id="rId31" Type="http://schemas.openxmlformats.org/officeDocument/2006/relationships/image" Target="../media/image4.png"/><Relationship Id="rId30" Type="http://schemas.openxmlformats.org/officeDocument/2006/relationships/image" Target="../media/image20.png"/><Relationship Id="rId11" Type="http://schemas.openxmlformats.org/officeDocument/2006/relationships/image" Target="../media/image9.jpg"/><Relationship Id="rId33" Type="http://schemas.openxmlformats.org/officeDocument/2006/relationships/image" Target="../media/image13.jpg"/><Relationship Id="rId10" Type="http://schemas.openxmlformats.org/officeDocument/2006/relationships/image" Target="../media/image6.jpg"/><Relationship Id="rId32" Type="http://schemas.openxmlformats.org/officeDocument/2006/relationships/image" Target="../media/image8.png"/><Relationship Id="rId13" Type="http://schemas.openxmlformats.org/officeDocument/2006/relationships/image" Target="../media/image18.jpg"/><Relationship Id="rId35" Type="http://schemas.openxmlformats.org/officeDocument/2006/relationships/image" Target="../media/image49.png"/><Relationship Id="rId12" Type="http://schemas.openxmlformats.org/officeDocument/2006/relationships/image" Target="../media/image2.jpg"/><Relationship Id="rId34" Type="http://schemas.openxmlformats.org/officeDocument/2006/relationships/image" Target="../media/image67.png"/><Relationship Id="rId15" Type="http://schemas.openxmlformats.org/officeDocument/2006/relationships/image" Target="../media/image25.png"/><Relationship Id="rId37" Type="http://schemas.openxmlformats.org/officeDocument/2006/relationships/image" Target="../media/image81.png"/><Relationship Id="rId14" Type="http://schemas.openxmlformats.org/officeDocument/2006/relationships/image" Target="../media/image21.jpg"/><Relationship Id="rId36" Type="http://schemas.openxmlformats.org/officeDocument/2006/relationships/image" Target="../media/image27.jpg"/><Relationship Id="rId17" Type="http://schemas.openxmlformats.org/officeDocument/2006/relationships/image" Target="../media/image19.jpg"/><Relationship Id="rId39" Type="http://schemas.openxmlformats.org/officeDocument/2006/relationships/image" Target="../media/image36.png"/><Relationship Id="rId16" Type="http://schemas.openxmlformats.org/officeDocument/2006/relationships/image" Target="../media/image7.png"/><Relationship Id="rId38" Type="http://schemas.openxmlformats.org/officeDocument/2006/relationships/image" Target="../media/image39.jpg"/><Relationship Id="rId19" Type="http://schemas.openxmlformats.org/officeDocument/2006/relationships/image" Target="../media/image22.jpg"/><Relationship Id="rId18" Type="http://schemas.openxmlformats.org/officeDocument/2006/relationships/image" Target="../media/image17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86.png"/><Relationship Id="rId3" Type="http://schemas.openxmlformats.org/officeDocument/2006/relationships/image" Target="../media/image60.png"/><Relationship Id="rId4" Type="http://schemas.openxmlformats.org/officeDocument/2006/relationships/image" Target="../media/image62.png"/><Relationship Id="rId9" Type="http://schemas.openxmlformats.org/officeDocument/2006/relationships/image" Target="../media/image26.png"/><Relationship Id="rId5" Type="http://schemas.openxmlformats.org/officeDocument/2006/relationships/image" Target="../media/image35.png"/><Relationship Id="rId6" Type="http://schemas.openxmlformats.org/officeDocument/2006/relationships/image" Target="../media/image29.png"/><Relationship Id="rId7" Type="http://schemas.openxmlformats.org/officeDocument/2006/relationships/image" Target="../media/image31.png"/><Relationship Id="rId8" Type="http://schemas.openxmlformats.org/officeDocument/2006/relationships/image" Target="../media/image28.png"/><Relationship Id="rId11" Type="http://schemas.openxmlformats.org/officeDocument/2006/relationships/image" Target="../media/image71.png"/><Relationship Id="rId10" Type="http://schemas.openxmlformats.org/officeDocument/2006/relationships/image" Target="../media/image38.png"/><Relationship Id="rId13" Type="http://schemas.openxmlformats.org/officeDocument/2006/relationships/image" Target="../media/image73.png"/><Relationship Id="rId12" Type="http://schemas.openxmlformats.org/officeDocument/2006/relationships/image" Target="../media/image68.png"/><Relationship Id="rId15" Type="http://schemas.openxmlformats.org/officeDocument/2006/relationships/image" Target="../media/image90.png"/><Relationship Id="rId14" Type="http://schemas.openxmlformats.org/officeDocument/2006/relationships/image" Target="../media/image70.png"/><Relationship Id="rId17" Type="http://schemas.openxmlformats.org/officeDocument/2006/relationships/image" Target="../media/image40.png"/><Relationship Id="rId16" Type="http://schemas.openxmlformats.org/officeDocument/2006/relationships/image" Target="../media/image30.jpg"/><Relationship Id="rId18" Type="http://schemas.openxmlformats.org/officeDocument/2006/relationships/image" Target="../media/image47.jp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0.jpg"/><Relationship Id="rId42" Type="http://schemas.openxmlformats.org/officeDocument/2006/relationships/image" Target="../media/image89.jpg"/><Relationship Id="rId41" Type="http://schemas.openxmlformats.org/officeDocument/2006/relationships/image" Target="../media/image112.png"/><Relationship Id="rId44" Type="http://schemas.openxmlformats.org/officeDocument/2006/relationships/image" Target="../media/image122.jpg"/><Relationship Id="rId43" Type="http://schemas.openxmlformats.org/officeDocument/2006/relationships/image" Target="../media/image98.jpg"/><Relationship Id="rId46" Type="http://schemas.openxmlformats.org/officeDocument/2006/relationships/image" Target="../media/image101.png"/><Relationship Id="rId45" Type="http://schemas.openxmlformats.org/officeDocument/2006/relationships/image" Target="../media/image95.png"/><Relationship Id="rId1" Type="http://schemas.openxmlformats.org/officeDocument/2006/relationships/image" Target="../media/image44.jpg"/><Relationship Id="rId2" Type="http://schemas.openxmlformats.org/officeDocument/2006/relationships/image" Target="../media/image84.jpg"/><Relationship Id="rId3" Type="http://schemas.openxmlformats.org/officeDocument/2006/relationships/image" Target="../media/image46.png"/><Relationship Id="rId4" Type="http://schemas.openxmlformats.org/officeDocument/2006/relationships/image" Target="../media/image42.png"/><Relationship Id="rId9" Type="http://schemas.openxmlformats.org/officeDocument/2006/relationships/image" Target="../media/image48.png"/><Relationship Id="rId48" Type="http://schemas.openxmlformats.org/officeDocument/2006/relationships/image" Target="../media/image102.png"/><Relationship Id="rId47" Type="http://schemas.openxmlformats.org/officeDocument/2006/relationships/image" Target="../media/image96.png"/><Relationship Id="rId49" Type="http://schemas.openxmlformats.org/officeDocument/2006/relationships/image" Target="../media/image109.png"/><Relationship Id="rId5" Type="http://schemas.openxmlformats.org/officeDocument/2006/relationships/image" Target="../media/image76.jpg"/><Relationship Id="rId6" Type="http://schemas.openxmlformats.org/officeDocument/2006/relationships/image" Target="../media/image52.jpg"/><Relationship Id="rId7" Type="http://schemas.openxmlformats.org/officeDocument/2006/relationships/image" Target="../media/image65.jpg"/><Relationship Id="rId8" Type="http://schemas.openxmlformats.org/officeDocument/2006/relationships/image" Target="../media/image57.png"/><Relationship Id="rId31" Type="http://schemas.openxmlformats.org/officeDocument/2006/relationships/image" Target="../media/image128.png"/><Relationship Id="rId30" Type="http://schemas.openxmlformats.org/officeDocument/2006/relationships/image" Target="../media/image114.png"/><Relationship Id="rId33" Type="http://schemas.openxmlformats.org/officeDocument/2006/relationships/image" Target="../media/image87.png"/><Relationship Id="rId32" Type="http://schemas.openxmlformats.org/officeDocument/2006/relationships/image" Target="../media/image119.png"/><Relationship Id="rId35" Type="http://schemas.openxmlformats.org/officeDocument/2006/relationships/image" Target="../media/image91.png"/><Relationship Id="rId34" Type="http://schemas.openxmlformats.org/officeDocument/2006/relationships/image" Target="../media/image88.png"/><Relationship Id="rId37" Type="http://schemas.openxmlformats.org/officeDocument/2006/relationships/image" Target="../media/image94.png"/><Relationship Id="rId36" Type="http://schemas.openxmlformats.org/officeDocument/2006/relationships/image" Target="../media/image99.png"/><Relationship Id="rId39" Type="http://schemas.openxmlformats.org/officeDocument/2006/relationships/image" Target="../media/image97.jpg"/><Relationship Id="rId38" Type="http://schemas.openxmlformats.org/officeDocument/2006/relationships/image" Target="../media/image92.png"/><Relationship Id="rId62" Type="http://schemas.openxmlformats.org/officeDocument/2006/relationships/image" Target="../media/image121.png"/><Relationship Id="rId61" Type="http://schemas.openxmlformats.org/officeDocument/2006/relationships/image" Target="../media/image125.png"/><Relationship Id="rId20" Type="http://schemas.openxmlformats.org/officeDocument/2006/relationships/image" Target="../media/image66.png"/><Relationship Id="rId64" Type="http://schemas.openxmlformats.org/officeDocument/2006/relationships/image" Target="../media/image123.jpg"/><Relationship Id="rId63" Type="http://schemas.openxmlformats.org/officeDocument/2006/relationships/image" Target="../media/image115.jpg"/><Relationship Id="rId22" Type="http://schemas.openxmlformats.org/officeDocument/2006/relationships/image" Target="../media/image77.png"/><Relationship Id="rId21" Type="http://schemas.openxmlformats.org/officeDocument/2006/relationships/image" Target="../media/image83.png"/><Relationship Id="rId24" Type="http://schemas.openxmlformats.org/officeDocument/2006/relationships/image" Target="../media/image75.png"/><Relationship Id="rId23" Type="http://schemas.openxmlformats.org/officeDocument/2006/relationships/image" Target="../media/image72.png"/><Relationship Id="rId60" Type="http://schemas.openxmlformats.org/officeDocument/2006/relationships/image" Target="../media/image108.png"/><Relationship Id="rId26" Type="http://schemas.openxmlformats.org/officeDocument/2006/relationships/image" Target="../media/image64.png"/><Relationship Id="rId25" Type="http://schemas.openxmlformats.org/officeDocument/2006/relationships/image" Target="../media/image82.png"/><Relationship Id="rId28" Type="http://schemas.openxmlformats.org/officeDocument/2006/relationships/image" Target="../media/image103.png"/><Relationship Id="rId27" Type="http://schemas.openxmlformats.org/officeDocument/2006/relationships/image" Target="../media/image74.png"/><Relationship Id="rId29" Type="http://schemas.openxmlformats.org/officeDocument/2006/relationships/image" Target="../media/image131.png"/><Relationship Id="rId51" Type="http://schemas.openxmlformats.org/officeDocument/2006/relationships/image" Target="../media/image110.jpg"/><Relationship Id="rId50" Type="http://schemas.openxmlformats.org/officeDocument/2006/relationships/image" Target="../media/image104.png"/><Relationship Id="rId53" Type="http://schemas.openxmlformats.org/officeDocument/2006/relationships/image" Target="../media/image105.png"/><Relationship Id="rId52" Type="http://schemas.openxmlformats.org/officeDocument/2006/relationships/image" Target="../media/image113.jpg"/><Relationship Id="rId11" Type="http://schemas.openxmlformats.org/officeDocument/2006/relationships/image" Target="../media/image45.jpg"/><Relationship Id="rId55" Type="http://schemas.openxmlformats.org/officeDocument/2006/relationships/image" Target="../media/image107.png"/><Relationship Id="rId10" Type="http://schemas.openxmlformats.org/officeDocument/2006/relationships/image" Target="../media/image59.jpg"/><Relationship Id="rId54" Type="http://schemas.openxmlformats.org/officeDocument/2006/relationships/image" Target="../media/image118.png"/><Relationship Id="rId13" Type="http://schemas.openxmlformats.org/officeDocument/2006/relationships/image" Target="../media/image51.jpg"/><Relationship Id="rId57" Type="http://schemas.openxmlformats.org/officeDocument/2006/relationships/image" Target="../media/image106.png"/><Relationship Id="rId12" Type="http://schemas.openxmlformats.org/officeDocument/2006/relationships/image" Target="../media/image43.jpg"/><Relationship Id="rId56" Type="http://schemas.openxmlformats.org/officeDocument/2006/relationships/image" Target="../media/image120.jpg"/><Relationship Id="rId15" Type="http://schemas.openxmlformats.org/officeDocument/2006/relationships/image" Target="../media/image54.jpg"/><Relationship Id="rId59" Type="http://schemas.openxmlformats.org/officeDocument/2006/relationships/image" Target="../media/image117.png"/><Relationship Id="rId14" Type="http://schemas.openxmlformats.org/officeDocument/2006/relationships/image" Target="../media/image50.jpg"/><Relationship Id="rId58" Type="http://schemas.openxmlformats.org/officeDocument/2006/relationships/image" Target="../media/image133.jpg"/><Relationship Id="rId17" Type="http://schemas.openxmlformats.org/officeDocument/2006/relationships/image" Target="../media/image80.png"/><Relationship Id="rId16" Type="http://schemas.openxmlformats.org/officeDocument/2006/relationships/image" Target="../media/image63.png"/><Relationship Id="rId19" Type="http://schemas.openxmlformats.org/officeDocument/2006/relationships/image" Target="../media/image79.png"/><Relationship Id="rId18" Type="http://schemas.openxmlformats.org/officeDocument/2006/relationships/image" Target="../media/image7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6.png"/><Relationship Id="rId2" Type="http://schemas.openxmlformats.org/officeDocument/2006/relationships/image" Target="../media/image127.jpg"/><Relationship Id="rId3" Type="http://schemas.openxmlformats.org/officeDocument/2006/relationships/image" Target="../media/image111.png"/><Relationship Id="rId4" Type="http://schemas.openxmlformats.org/officeDocument/2006/relationships/image" Target="../media/image156.png"/><Relationship Id="rId9" Type="http://schemas.openxmlformats.org/officeDocument/2006/relationships/image" Target="../media/image124.jpg"/><Relationship Id="rId5" Type="http://schemas.openxmlformats.org/officeDocument/2006/relationships/image" Target="../media/image152.png"/><Relationship Id="rId6" Type="http://schemas.openxmlformats.org/officeDocument/2006/relationships/image" Target="../media/image138.png"/><Relationship Id="rId7" Type="http://schemas.openxmlformats.org/officeDocument/2006/relationships/image" Target="../media/image151.png"/><Relationship Id="rId8" Type="http://schemas.openxmlformats.org/officeDocument/2006/relationships/image" Target="../media/image126.jpg"/><Relationship Id="rId10" Type="http://schemas.openxmlformats.org/officeDocument/2006/relationships/image" Target="../media/image130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9.png"/><Relationship Id="rId2" Type="http://schemas.openxmlformats.org/officeDocument/2006/relationships/image" Target="../media/image165.png"/><Relationship Id="rId3" Type="http://schemas.openxmlformats.org/officeDocument/2006/relationships/image" Target="../media/image129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3.png"/><Relationship Id="rId2" Type="http://schemas.openxmlformats.org/officeDocument/2006/relationships/image" Target="../media/image170.png"/><Relationship Id="rId3" Type="http://schemas.openxmlformats.org/officeDocument/2006/relationships/image" Target="../media/image164.png"/><Relationship Id="rId4" Type="http://schemas.openxmlformats.org/officeDocument/2006/relationships/image" Target="../media/image158.png"/><Relationship Id="rId9" Type="http://schemas.openxmlformats.org/officeDocument/2006/relationships/image" Target="../media/image145.png"/><Relationship Id="rId5" Type="http://schemas.openxmlformats.org/officeDocument/2006/relationships/image" Target="../media/image161.png"/><Relationship Id="rId6" Type="http://schemas.openxmlformats.org/officeDocument/2006/relationships/image" Target="../media/image169.png"/><Relationship Id="rId7" Type="http://schemas.openxmlformats.org/officeDocument/2006/relationships/image" Target="../media/image160.png"/><Relationship Id="rId8" Type="http://schemas.openxmlformats.org/officeDocument/2006/relationships/image" Target="../media/image153.png"/><Relationship Id="rId31" Type="http://schemas.openxmlformats.org/officeDocument/2006/relationships/image" Target="../media/image144.jpg"/><Relationship Id="rId30" Type="http://schemas.openxmlformats.org/officeDocument/2006/relationships/image" Target="../media/image49.png"/><Relationship Id="rId33" Type="http://schemas.openxmlformats.org/officeDocument/2006/relationships/image" Target="../media/image149.png"/><Relationship Id="rId32" Type="http://schemas.openxmlformats.org/officeDocument/2006/relationships/image" Target="../media/image148.jpg"/><Relationship Id="rId34" Type="http://schemas.openxmlformats.org/officeDocument/2006/relationships/image" Target="../media/image146.png"/><Relationship Id="rId20" Type="http://schemas.openxmlformats.org/officeDocument/2006/relationships/image" Target="../media/image136.jpg"/><Relationship Id="rId22" Type="http://schemas.openxmlformats.org/officeDocument/2006/relationships/image" Target="../media/image141.png"/><Relationship Id="rId21" Type="http://schemas.openxmlformats.org/officeDocument/2006/relationships/image" Target="../media/image137.png"/><Relationship Id="rId24" Type="http://schemas.openxmlformats.org/officeDocument/2006/relationships/image" Target="../media/image135.png"/><Relationship Id="rId23" Type="http://schemas.openxmlformats.org/officeDocument/2006/relationships/image" Target="../media/image134.png"/><Relationship Id="rId26" Type="http://schemas.openxmlformats.org/officeDocument/2006/relationships/image" Target="../media/image142.png"/><Relationship Id="rId25" Type="http://schemas.openxmlformats.org/officeDocument/2006/relationships/image" Target="../media/image140.png"/><Relationship Id="rId28" Type="http://schemas.openxmlformats.org/officeDocument/2006/relationships/image" Target="../media/image147.png"/><Relationship Id="rId27" Type="http://schemas.openxmlformats.org/officeDocument/2006/relationships/image" Target="../media/image143.jpg"/><Relationship Id="rId29" Type="http://schemas.openxmlformats.org/officeDocument/2006/relationships/image" Target="../media/image67.png"/><Relationship Id="rId11" Type="http://schemas.openxmlformats.org/officeDocument/2006/relationships/image" Target="../media/image154.png"/><Relationship Id="rId10" Type="http://schemas.openxmlformats.org/officeDocument/2006/relationships/image" Target="../media/image162.png"/><Relationship Id="rId13" Type="http://schemas.openxmlformats.org/officeDocument/2006/relationships/image" Target="../media/image150.png"/><Relationship Id="rId12" Type="http://schemas.openxmlformats.org/officeDocument/2006/relationships/image" Target="../media/image167.png"/><Relationship Id="rId15" Type="http://schemas.openxmlformats.org/officeDocument/2006/relationships/image" Target="../media/image166.png"/><Relationship Id="rId14" Type="http://schemas.openxmlformats.org/officeDocument/2006/relationships/image" Target="../media/image157.png"/><Relationship Id="rId17" Type="http://schemas.openxmlformats.org/officeDocument/2006/relationships/image" Target="../media/image155.png"/><Relationship Id="rId16" Type="http://schemas.openxmlformats.org/officeDocument/2006/relationships/image" Target="../media/image168.png"/><Relationship Id="rId19" Type="http://schemas.openxmlformats.org/officeDocument/2006/relationships/image" Target="../media/image139.png"/><Relationship Id="rId18" Type="http://schemas.openxmlformats.org/officeDocument/2006/relationships/image" Target="../media/image1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847725" cy="304800"/>
    <xdr:sp>
      <xdr:nvSpPr>
        <xdr:cNvPr id="3" name="Shape 3"/>
        <xdr:cNvSpPr/>
      </xdr:nvSpPr>
      <xdr:spPr>
        <a:xfrm>
          <a:off x="2607250" y="1484775"/>
          <a:ext cx="1180200" cy="327300"/>
        </a:xfrm>
        <a:prstGeom prst="roundRect">
          <a:avLst>
            <a:gd fmla="val 16667" name="adj"/>
          </a:avLst>
        </a:prstGeom>
        <a:solidFill>
          <a:srgbClr val="F8CBA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FIXED</a:t>
          </a:r>
          <a:endParaRPr b="1" sz="1400"/>
        </a:p>
      </xdr:txBody>
    </xdr:sp>
    <xdr:clientData fLocksWithSheet="0"/>
  </xdr:oneCellAnchor>
  <xdr:oneCellAnchor>
    <xdr:from>
      <xdr:col>9</xdr:col>
      <xdr:colOff>114300</xdr:colOff>
      <xdr:row>0</xdr:row>
      <xdr:rowOff>19050</xdr:rowOff>
    </xdr:from>
    <xdr:ext cx="990600" cy="304800"/>
    <xdr:sp>
      <xdr:nvSpPr>
        <xdr:cNvPr id="4" name="Shape 4"/>
        <xdr:cNvSpPr/>
      </xdr:nvSpPr>
      <xdr:spPr>
        <a:xfrm>
          <a:off x="3688275" y="2278175"/>
          <a:ext cx="1209900" cy="3768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VARIABLE</a:t>
          </a:r>
          <a:endParaRPr b="1"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971550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962025"/>
    <xdr:pic>
      <xdr:nvPicPr>
        <xdr:cNvPr id="0" name="image7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962025"/>
    <xdr:pic>
      <xdr:nvPicPr>
        <xdr:cNvPr id="0" name="image7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62025" cy="962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62025" cy="962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62025" cy="94297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62025" cy="94297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62025" cy="100012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62025" cy="100012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83820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04850" cy="1143000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04850" cy="1143000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76275" cy="113347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76275" cy="113347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62000" cy="1143000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762000" cy="1143000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819150" cy="1133475"/>
    <xdr:pic>
      <xdr:nvPicPr>
        <xdr:cNvPr id="0" name="image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962025" cy="609600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62025" cy="933450"/>
    <xdr:pic>
      <xdr:nvPicPr>
        <xdr:cNvPr id="0" name="image1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962025" cy="933450"/>
    <xdr:pic>
      <xdr:nvPicPr>
        <xdr:cNvPr id="0" name="image1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857250" cy="1143000"/>
    <xdr:pic>
      <xdr:nvPicPr>
        <xdr:cNvPr id="0" name="image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857250" cy="1143000"/>
    <xdr:pic>
      <xdr:nvPicPr>
        <xdr:cNvPr id="0" name="image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52500" cy="72390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52500" cy="72390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62025" cy="981075"/>
    <xdr:pic>
      <xdr:nvPicPr>
        <xdr:cNvPr id="0" name="image1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962025" cy="714375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62025" cy="714375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962025" cy="714375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857250" cy="1143000"/>
    <xdr:pic>
      <xdr:nvPicPr>
        <xdr:cNvPr id="0" name="image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62025" cy="962025"/>
    <xdr:pic>
      <xdr:nvPicPr>
        <xdr:cNvPr id="0" name="image2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62025" cy="962025"/>
    <xdr:pic>
      <xdr:nvPicPr>
        <xdr:cNvPr id="0" name="image2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962025" cy="962025"/>
    <xdr:pic>
      <xdr:nvPicPr>
        <xdr:cNvPr id="0" name="image5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962025" cy="962025"/>
    <xdr:pic>
      <xdr:nvPicPr>
        <xdr:cNvPr id="0" name="image5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962025" cy="962025"/>
    <xdr:pic>
      <xdr:nvPicPr>
        <xdr:cNvPr id="0" name="image6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962025" cy="962025"/>
    <xdr:pic>
      <xdr:nvPicPr>
        <xdr:cNvPr id="0" name="image3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62025" cy="96202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962025" cy="96202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62025" cy="96202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962025" cy="962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962025" cy="962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962025" cy="962025"/>
    <xdr:pic>
      <xdr:nvPicPr>
        <xdr:cNvPr id="0" name="image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62025" cy="962025"/>
    <xdr:pic>
      <xdr:nvPicPr>
        <xdr:cNvPr id="0" name="image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962025" cy="962025"/>
    <xdr:pic>
      <xdr:nvPicPr>
        <xdr:cNvPr id="0" name="image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962025" cy="714375"/>
    <xdr:pic>
      <xdr:nvPicPr>
        <xdr:cNvPr id="0" name="image1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962025" cy="904875"/>
    <xdr:pic>
      <xdr:nvPicPr>
        <xdr:cNvPr id="0" name="image1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962025" cy="904875"/>
    <xdr:pic>
      <xdr:nvPicPr>
        <xdr:cNvPr id="0" name="image2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962025" cy="847725"/>
    <xdr:pic>
      <xdr:nvPicPr>
        <xdr:cNvPr id="0" name="image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52500" cy="762000"/>
    <xdr:pic>
      <xdr:nvPicPr>
        <xdr:cNvPr id="0" name="image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962025" cy="457200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962025" cy="962025"/>
    <xdr:pic>
      <xdr:nvPicPr>
        <xdr:cNvPr id="0" name="image6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962025" cy="962025"/>
    <xdr:pic>
      <xdr:nvPicPr>
        <xdr:cNvPr id="0" name="image4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857250" cy="1143000"/>
    <xdr:pic>
      <xdr:nvPicPr>
        <xdr:cNvPr id="0" name="image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962025" cy="962025"/>
    <xdr:pic>
      <xdr:nvPicPr>
        <xdr:cNvPr id="0" name="image2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962025" cy="962025"/>
    <xdr:pic>
      <xdr:nvPicPr>
        <xdr:cNvPr id="0" name="image2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962025" cy="962025"/>
    <xdr:pic>
      <xdr:nvPicPr>
        <xdr:cNvPr id="0" name="image8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828675" cy="1143000"/>
    <xdr:pic>
      <xdr:nvPicPr>
        <xdr:cNvPr id="0" name="image3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962025" cy="962025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962025" cy="962025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962025" cy="962025"/>
    <xdr:pic>
      <xdr:nvPicPr>
        <xdr:cNvPr id="0" name="image3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38150" cy="1143000"/>
    <xdr:pic>
      <xdr:nvPicPr>
        <xdr:cNvPr id="0" name="image3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38150" cy="1143000"/>
    <xdr:pic>
      <xdr:nvPicPr>
        <xdr:cNvPr id="0" name="image3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38150" cy="1143000"/>
    <xdr:pic>
      <xdr:nvPicPr>
        <xdr:cNvPr id="0" name="image3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962025"/>
    <xdr:pic>
      <xdr:nvPicPr>
        <xdr:cNvPr id="0" name="image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962025"/>
    <xdr:pic>
      <xdr:nvPicPr>
        <xdr:cNvPr id="0" name="image8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962025"/>
    <xdr:pic>
      <xdr:nvPicPr>
        <xdr:cNvPr id="0" name="image6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962025"/>
    <xdr:pic>
      <xdr:nvPicPr>
        <xdr:cNvPr id="0" name="image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952500"/>
    <xdr:pic>
      <xdr:nvPicPr>
        <xdr:cNvPr id="0" name="image3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1085850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1114425"/>
    <xdr:pic>
      <xdr:nvPicPr>
        <xdr:cNvPr id="0" name="image3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1123950"/>
    <xdr:pic>
      <xdr:nvPicPr>
        <xdr:cNvPr id="0" name="image2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52500" cy="1143000"/>
    <xdr:pic>
      <xdr:nvPicPr>
        <xdr:cNvPr id="0" name="image2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62025" cy="1104900"/>
    <xdr:pic>
      <xdr:nvPicPr>
        <xdr:cNvPr id="0" name="image3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62025" cy="962025"/>
    <xdr:pic>
      <xdr:nvPicPr>
        <xdr:cNvPr id="0" name="image7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62025" cy="962025"/>
    <xdr:pic>
      <xdr:nvPicPr>
        <xdr:cNvPr id="0" name="image6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62025" cy="962025"/>
    <xdr:pic>
      <xdr:nvPicPr>
        <xdr:cNvPr id="0" name="image7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962025" cy="962025"/>
    <xdr:pic>
      <xdr:nvPicPr>
        <xdr:cNvPr id="0" name="image9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962025" cy="962025"/>
    <xdr:pic>
      <xdr:nvPicPr>
        <xdr:cNvPr id="0" name="image9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38175" cy="1143000"/>
    <xdr:pic>
      <xdr:nvPicPr>
        <xdr:cNvPr id="0" name="image3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638175" cy="1143000"/>
    <xdr:pic>
      <xdr:nvPicPr>
        <xdr:cNvPr id="0" name="image3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962025" cy="962025"/>
    <xdr:pic>
      <xdr:nvPicPr>
        <xdr:cNvPr id="0" name="image9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62025" cy="962025"/>
    <xdr:pic>
      <xdr:nvPicPr>
        <xdr:cNvPr id="0" name="image7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62025" cy="962025"/>
    <xdr:pic>
      <xdr:nvPicPr>
        <xdr:cNvPr id="0" name="image7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952500" cy="9525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733425" cy="1143000"/>
    <xdr:pic>
      <xdr:nvPicPr>
        <xdr:cNvPr id="0" name="image4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52500" cy="1066800"/>
    <xdr:pic>
      <xdr:nvPicPr>
        <xdr:cNvPr id="0" name="image4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742950"/>
    <xdr:pic>
      <xdr:nvPicPr>
        <xdr:cNvPr id="0" name="image8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723900"/>
    <xdr:pic>
      <xdr:nvPicPr>
        <xdr:cNvPr id="0" name="image4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762000"/>
    <xdr:pic>
      <xdr:nvPicPr>
        <xdr:cNvPr id="0" name="image4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962025"/>
    <xdr:pic>
      <xdr:nvPicPr>
        <xdr:cNvPr id="0" name="image7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962025"/>
    <xdr:pic>
      <xdr:nvPicPr>
        <xdr:cNvPr id="0" name="image7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809625"/>
    <xdr:pic>
      <xdr:nvPicPr>
        <xdr:cNvPr id="0" name="image5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962025"/>
    <xdr:pic>
      <xdr:nvPicPr>
        <xdr:cNvPr id="0" name="image6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62025" cy="1028700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62025" cy="866775"/>
    <xdr:pic>
      <xdr:nvPicPr>
        <xdr:cNvPr id="0" name="image4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62025" cy="962025"/>
    <xdr:pic>
      <xdr:nvPicPr>
        <xdr:cNvPr id="0" name="image5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62025" cy="962025"/>
    <xdr:pic>
      <xdr:nvPicPr>
        <xdr:cNvPr id="0" name="image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62025" cy="962025"/>
    <xdr:pic>
      <xdr:nvPicPr>
        <xdr:cNvPr id="0" name="image4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62025" cy="962025"/>
    <xdr:pic>
      <xdr:nvPicPr>
        <xdr:cNvPr id="0" name="image5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962025"/>
    <xdr:pic>
      <xdr:nvPicPr>
        <xdr:cNvPr id="0" name="image5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62025" cy="962025"/>
    <xdr:pic>
      <xdr:nvPicPr>
        <xdr:cNvPr id="0" name="image5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962025" cy="866775"/>
    <xdr:pic>
      <xdr:nvPicPr>
        <xdr:cNvPr id="0" name="image5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962025" cy="1028700"/>
    <xdr:pic>
      <xdr:nvPicPr>
        <xdr:cNvPr id="0" name="image5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962025" cy="466725"/>
    <xdr:pic>
      <xdr:nvPicPr>
        <xdr:cNvPr id="0" name="image6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62025" cy="466725"/>
    <xdr:pic>
      <xdr:nvPicPr>
        <xdr:cNvPr id="0" name="image6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962025" cy="466725"/>
    <xdr:pic>
      <xdr:nvPicPr>
        <xdr:cNvPr id="0" name="image6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962025" cy="466725"/>
    <xdr:pic>
      <xdr:nvPicPr>
        <xdr:cNvPr id="0" name="image6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962025" cy="847725"/>
    <xdr:pic>
      <xdr:nvPicPr>
        <xdr:cNvPr id="0" name="image8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62025" cy="847725"/>
    <xdr:pic>
      <xdr:nvPicPr>
        <xdr:cNvPr id="0" name="image8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962025" cy="962025"/>
    <xdr:pic>
      <xdr:nvPicPr>
        <xdr:cNvPr id="0" name="image7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962025" cy="9239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71525" cy="1143000"/>
    <xdr:pic>
      <xdr:nvPicPr>
        <xdr:cNvPr id="0" name="image6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14400" cy="1143000"/>
    <xdr:pic>
      <xdr:nvPicPr>
        <xdr:cNvPr id="0" name="image8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62025" cy="1019175"/>
    <xdr:pic>
      <xdr:nvPicPr>
        <xdr:cNvPr id="0" name="image7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638175" cy="1143000"/>
    <xdr:pic>
      <xdr:nvPicPr>
        <xdr:cNvPr id="0" name="image7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962025" cy="1104900"/>
    <xdr:pic>
      <xdr:nvPicPr>
        <xdr:cNvPr id="0" name="image7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962025" cy="619125"/>
    <xdr:pic>
      <xdr:nvPicPr>
        <xdr:cNvPr id="0" name="image8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962025" cy="1019175"/>
    <xdr:pic>
      <xdr:nvPicPr>
        <xdr:cNvPr id="0" name="image6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62025" cy="962025"/>
    <xdr:pic>
      <xdr:nvPicPr>
        <xdr:cNvPr id="0" name="image7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62025" cy="962025"/>
    <xdr:pic>
      <xdr:nvPicPr>
        <xdr:cNvPr id="0" name="image7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962025" cy="962025"/>
    <xdr:pic>
      <xdr:nvPicPr>
        <xdr:cNvPr id="0" name="image1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62025" cy="962025"/>
    <xdr:pic>
      <xdr:nvPicPr>
        <xdr:cNvPr id="0" name="image1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962025" cy="962025"/>
    <xdr:pic>
      <xdr:nvPicPr>
        <xdr:cNvPr id="0" name="image1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62025" cy="962025"/>
    <xdr:pic>
      <xdr:nvPicPr>
        <xdr:cNvPr id="0" name="image1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962025" cy="962025"/>
    <xdr:pic>
      <xdr:nvPicPr>
        <xdr:cNvPr id="0" name="image11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962025" cy="962025"/>
    <xdr:pic>
      <xdr:nvPicPr>
        <xdr:cNvPr id="0" name="image12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62025" cy="962025"/>
    <xdr:pic>
      <xdr:nvPicPr>
        <xdr:cNvPr id="0" name="image11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62025" cy="962025"/>
    <xdr:pic>
      <xdr:nvPicPr>
        <xdr:cNvPr id="0" name="image8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962025" cy="962025"/>
    <xdr:pic>
      <xdr:nvPicPr>
        <xdr:cNvPr id="0" name="image8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962025" cy="962025"/>
    <xdr:pic>
      <xdr:nvPicPr>
        <xdr:cNvPr id="0" name="image8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962025" cy="962025"/>
    <xdr:pic>
      <xdr:nvPicPr>
        <xdr:cNvPr id="0" name="image8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962025" cy="962025"/>
    <xdr:pic>
      <xdr:nvPicPr>
        <xdr:cNvPr id="0" name="image8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62025" cy="962025"/>
    <xdr:pic>
      <xdr:nvPicPr>
        <xdr:cNvPr id="0" name="image8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962025" cy="962025"/>
    <xdr:pic>
      <xdr:nvPicPr>
        <xdr:cNvPr id="0" name="image9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62025" cy="962025"/>
    <xdr:pic>
      <xdr:nvPicPr>
        <xdr:cNvPr id="0" name="image9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962025" cy="962025"/>
    <xdr:pic>
      <xdr:nvPicPr>
        <xdr:cNvPr id="0" name="image9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962025" cy="962025"/>
    <xdr:pic>
      <xdr:nvPicPr>
        <xdr:cNvPr id="0" name="image9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962025" cy="962025"/>
    <xdr:pic>
      <xdr:nvPicPr>
        <xdr:cNvPr id="0" name="image9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62025" cy="962025"/>
    <xdr:pic>
      <xdr:nvPicPr>
        <xdr:cNvPr id="0" name="image9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962025" cy="962025"/>
    <xdr:pic>
      <xdr:nvPicPr>
        <xdr:cNvPr id="0" name="image9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962025" cy="962025"/>
    <xdr:pic>
      <xdr:nvPicPr>
        <xdr:cNvPr id="0" name="image9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962025" cy="962025"/>
    <xdr:pic>
      <xdr:nvPicPr>
        <xdr:cNvPr id="0" name="image9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962025" cy="962025"/>
    <xdr:pic>
      <xdr:nvPicPr>
        <xdr:cNvPr id="0" name="image9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962025" cy="962025"/>
    <xdr:pic>
      <xdr:nvPicPr>
        <xdr:cNvPr id="0" name="image9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62025" cy="962025"/>
    <xdr:pic>
      <xdr:nvPicPr>
        <xdr:cNvPr id="0" name="image9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962025" cy="1038225"/>
    <xdr:pic>
      <xdr:nvPicPr>
        <xdr:cNvPr id="0" name="image9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962025" cy="1028700"/>
    <xdr:pic>
      <xdr:nvPicPr>
        <xdr:cNvPr id="0" name="image10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962025" cy="1047750"/>
    <xdr:pic>
      <xdr:nvPicPr>
        <xdr:cNvPr id="0" name="image11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962025" cy="990600"/>
    <xdr:pic>
      <xdr:nvPicPr>
        <xdr:cNvPr id="0" name="image8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962025" cy="990600"/>
    <xdr:pic>
      <xdr:nvPicPr>
        <xdr:cNvPr id="0" name="image8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952500" cy="981075"/>
    <xdr:pic>
      <xdr:nvPicPr>
        <xdr:cNvPr id="0" name="image9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952500" cy="981075"/>
    <xdr:pic>
      <xdr:nvPicPr>
        <xdr:cNvPr id="0" name="image9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962025" cy="990600"/>
    <xdr:pic>
      <xdr:nvPicPr>
        <xdr:cNvPr id="0" name="image12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962025" cy="990600"/>
    <xdr:pic>
      <xdr:nvPicPr>
        <xdr:cNvPr id="0" name="image12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962025" cy="771525"/>
    <xdr:pic>
      <xdr:nvPicPr>
        <xdr:cNvPr id="0" name="image9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762000" cy="1143000"/>
    <xdr:pic>
      <xdr:nvPicPr>
        <xdr:cNvPr id="0" name="image10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42950" cy="1143000"/>
    <xdr:pic>
      <xdr:nvPicPr>
        <xdr:cNvPr id="0" name="image9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609600" cy="1143000"/>
    <xdr:pic>
      <xdr:nvPicPr>
        <xdr:cNvPr id="0" name="image10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685800" cy="1143000"/>
    <xdr:pic>
      <xdr:nvPicPr>
        <xdr:cNvPr id="0" name="image10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942975" cy="1143000"/>
    <xdr:pic>
      <xdr:nvPicPr>
        <xdr:cNvPr id="0" name="image10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962025" cy="962025"/>
    <xdr:pic>
      <xdr:nvPicPr>
        <xdr:cNvPr id="0" name="image11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962025" cy="962025"/>
    <xdr:pic>
      <xdr:nvPicPr>
        <xdr:cNvPr id="0" name="image11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962025" cy="971550"/>
    <xdr:pic>
      <xdr:nvPicPr>
        <xdr:cNvPr id="0" name="image11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962025" cy="962025"/>
    <xdr:pic>
      <xdr:nvPicPr>
        <xdr:cNvPr id="0" name="image10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962025" cy="1066800"/>
    <xdr:pic>
      <xdr:nvPicPr>
        <xdr:cNvPr id="0" name="image11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28625" cy="1143000"/>
    <xdr:pic>
      <xdr:nvPicPr>
        <xdr:cNvPr id="0" name="image10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952500" cy="923925"/>
    <xdr:pic>
      <xdr:nvPicPr>
        <xdr:cNvPr id="0" name="image120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962025" cy="676275"/>
    <xdr:pic>
      <xdr:nvPicPr>
        <xdr:cNvPr id="0" name="image10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962025" cy="828675"/>
    <xdr:pic>
      <xdr:nvPicPr>
        <xdr:cNvPr id="0" name="image13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962025" cy="828675"/>
    <xdr:pic>
      <xdr:nvPicPr>
        <xdr:cNvPr id="0" name="image13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962025" cy="552450"/>
    <xdr:pic>
      <xdr:nvPicPr>
        <xdr:cNvPr id="0" name="image11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962025" cy="552450"/>
    <xdr:pic>
      <xdr:nvPicPr>
        <xdr:cNvPr id="0" name="image11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962025" cy="828675"/>
    <xdr:pic>
      <xdr:nvPicPr>
        <xdr:cNvPr id="0" name="image13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62025" cy="990600"/>
    <xdr:pic>
      <xdr:nvPicPr>
        <xdr:cNvPr id="0" name="image10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962025" cy="990600"/>
    <xdr:pic>
      <xdr:nvPicPr>
        <xdr:cNvPr id="0" name="image10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962025" cy="990600"/>
    <xdr:pic>
      <xdr:nvPicPr>
        <xdr:cNvPr id="0" name="image10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962025" cy="962025"/>
    <xdr:pic>
      <xdr:nvPicPr>
        <xdr:cNvPr id="0" name="image12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962025" cy="962025"/>
    <xdr:pic>
      <xdr:nvPicPr>
        <xdr:cNvPr id="0" name="image12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962025" cy="962025"/>
    <xdr:pic>
      <xdr:nvPicPr>
        <xdr:cNvPr id="0" name="image12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962025" cy="962025"/>
    <xdr:pic>
      <xdr:nvPicPr>
        <xdr:cNvPr id="0" name="image12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962025" cy="962025"/>
    <xdr:pic>
      <xdr:nvPicPr>
        <xdr:cNvPr id="0" name="image115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857250" cy="1143000"/>
    <xdr:pic>
      <xdr:nvPicPr>
        <xdr:cNvPr id="0" name="image123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895350"/>
    <xdr:pic>
      <xdr:nvPicPr>
        <xdr:cNvPr id="0" name="image1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96202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771525"/>
    <xdr:pic>
      <xdr:nvPicPr>
        <xdr:cNvPr id="0" name="image1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62025" cy="962025"/>
    <xdr:pic>
      <xdr:nvPicPr>
        <xdr:cNvPr id="0" name="image15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962025"/>
    <xdr:pic>
      <xdr:nvPicPr>
        <xdr:cNvPr id="0" name="image1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62025" cy="962025"/>
    <xdr:pic>
      <xdr:nvPicPr>
        <xdr:cNvPr id="0" name="image1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962025" cy="962025"/>
    <xdr:pic>
      <xdr:nvPicPr>
        <xdr:cNvPr id="0" name="image1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962025" cy="962025"/>
    <xdr:pic>
      <xdr:nvPicPr>
        <xdr:cNvPr id="0" name="image1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962025" cy="962025"/>
    <xdr:pic>
      <xdr:nvPicPr>
        <xdr:cNvPr id="0" name="image1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62025" cy="962025"/>
    <xdr:pic>
      <xdr:nvPicPr>
        <xdr:cNvPr id="0" name="image1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962025" cy="962025"/>
    <xdr:pic>
      <xdr:nvPicPr>
        <xdr:cNvPr id="0" name="image1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381000" cy="1143000"/>
    <xdr:pic>
      <xdr:nvPicPr>
        <xdr:cNvPr id="0" name="image1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381000" cy="1143000"/>
    <xdr:pic>
      <xdr:nvPicPr>
        <xdr:cNvPr id="0" name="image1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371475" cy="1143000"/>
    <xdr:pic>
      <xdr:nvPicPr>
        <xdr:cNvPr id="0" name="image12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371475" cy="1143000"/>
    <xdr:pic>
      <xdr:nvPicPr>
        <xdr:cNvPr id="0" name="image12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352425" cy="1143000"/>
    <xdr:pic>
      <xdr:nvPicPr>
        <xdr:cNvPr id="0" name="image13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352425" cy="1143000"/>
    <xdr:pic>
      <xdr:nvPicPr>
        <xdr:cNvPr id="0" name="image13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71450" cy="200025"/>
    <xdr:pic>
      <xdr:nvPicPr>
        <xdr:cNvPr id="0" name="image12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962025"/>
    <xdr:pic>
      <xdr:nvPicPr>
        <xdr:cNvPr id="0" name="image1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962025"/>
    <xdr:pic>
      <xdr:nvPicPr>
        <xdr:cNvPr id="0" name="image17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962025"/>
    <xdr:pic>
      <xdr:nvPicPr>
        <xdr:cNvPr id="0" name="image16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962025"/>
    <xdr:pic>
      <xdr:nvPicPr>
        <xdr:cNvPr id="0" name="image15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962025"/>
    <xdr:pic>
      <xdr:nvPicPr>
        <xdr:cNvPr id="0" name="image16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962025"/>
    <xdr:pic>
      <xdr:nvPicPr>
        <xdr:cNvPr id="0" name="image16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962025"/>
    <xdr:pic>
      <xdr:nvPicPr>
        <xdr:cNvPr id="0" name="image16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962025"/>
    <xdr:pic>
      <xdr:nvPicPr>
        <xdr:cNvPr id="0" name="image16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5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4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5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5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533400" cy="476250"/>
    <xdr:pic>
      <xdr:nvPicPr>
        <xdr:cNvPr id="0" name="image13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47675" cy="476250"/>
    <xdr:pic>
      <xdr:nvPicPr>
        <xdr:cNvPr id="0" name="image13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66725" cy="476250"/>
    <xdr:pic>
      <xdr:nvPicPr>
        <xdr:cNvPr id="0" name="image13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4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3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3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4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4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352425" cy="476250"/>
    <xdr:pic>
      <xdr:nvPicPr>
        <xdr:cNvPr id="0" name="image14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52425" cy="476250"/>
    <xdr:pic>
      <xdr:nvPicPr>
        <xdr:cNvPr id="0" name="image14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6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95300" cy="476250"/>
    <xdr:pic>
      <xdr:nvPicPr>
        <xdr:cNvPr id="0" name="image14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571500" cy="476250"/>
    <xdr:pic>
      <xdr:nvPicPr>
        <xdr:cNvPr id="0" name="image14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57200" cy="476250"/>
    <xdr:pic>
      <xdr:nvPicPr>
        <xdr:cNvPr id="0" name="image14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.id/product/11738739/44327768126/" TargetMode="External"/><Relationship Id="rId2" Type="http://schemas.openxmlformats.org/officeDocument/2006/relationships/hyperlink" Target="https://shopee.co.id/product/11738739/44327768126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ldestore.com/product-detail?handle=super-kettle-polaris" TargetMode="External"/><Relationship Id="rId2" Type="http://schemas.openxmlformats.org/officeDocument/2006/relationships/hyperlink" Target="https://shopee.co.id/product/507937691/20794586431?d_id=29e78&amp;uls_trackid=539k1d700027&amp;utm_content=24NkSULWNMVzCKjPJPdwEmZr6Bw5" TargetMode="External"/><Relationship Id="rId3" Type="http://schemas.openxmlformats.org/officeDocument/2006/relationships/hyperlink" Target="https://shopee.co.id/%E3%80%90RUMATIDY%E3%80%91MARIE-Termos-Air-Panas-Temperatur-Digital-1-Liter-Thermo-Kettle-Jug-Air-Panas-24-Jam-i.861375805.25569863845?sp_atk=936a3bc5-47c8-4faa-a075-a0c1c471a28e&amp;xptdk=936a3bc5-47c8-4faa-a075-a0c1c471a28e" TargetMode="External"/><Relationship Id="rId4" Type="http://schemas.openxmlformats.org/officeDocument/2006/relationships/hyperlink" Target="https://shopee.co.id/product/358564417/15098129858?d_id=29e78&amp;uls_trackid=539k31f70184&amp;utm_content=24NkSULWNMeutuTtMtrqZhvuyVTD" TargetMode="External"/><Relationship Id="rId9" Type="http://schemas.openxmlformats.org/officeDocument/2006/relationships/hyperlink" Target="https://shopee.co.id/Botol-Pet-Can-330ml-Softdrink-1-Dus-250pcs-Model-Kaleng-Soda-i.1046406480.26754740918" TargetMode="External"/><Relationship Id="rId5" Type="http://schemas.openxmlformats.org/officeDocument/2006/relationships/hyperlink" Target="https://shopee.co.id/product/981651128/24676529281?d_id=29e78&amp;uls_trackid=539k3r3g0027&amp;utm_content=24NkSULWNMiRQgoQ33koYaEMsHu9" TargetMode="External"/><Relationship Id="rId6" Type="http://schemas.openxmlformats.org/officeDocument/2006/relationships/hyperlink" Target="https://shopee.co.id/product/863097431/23600863826?d_id=fa1b2&amp;uls_trackid=539k4crn002f&amp;utm_content=35GYmDLePpPCfHpMbXmvSNRyWBNF" TargetMode="External"/><Relationship Id="rId7" Type="http://schemas.openxmlformats.org/officeDocument/2006/relationships/hyperlink" Target="https://shopee.co.id/Wine-Dispenser-Glass-6-Shot-6-Gelas-Wine-Dispenser-Akrilik-Transparan-Dispenser-Beer-Wine-Party-Pesta-Acara-i.251363220.24272535628" TargetMode="External"/><Relationship Id="rId8" Type="http://schemas.openxmlformats.org/officeDocument/2006/relationships/hyperlink" Target="https://www.ruparupa.com/informastore/m-p/appetite-dispenser-minuman-dengan-stand.html?utm_source=google&amp;utm_medium=cpc&amp;utm_campaign=on_informa_mf_pmax_web_purchase_group05_dapur_budgetads&amp;gad_source=1&amp;gad_campaignid=17339279668&amp;gbraid=0AAAAAC5kbJSXwX8KNqB1Sv2zO7J9hjNWa&amp;gclid=CjwKCAjwxfjGBhAUEiwAKWPwDq2K8DMphfcF5fMQYjZche0lZ6mXxPg7Jhn-vzml6shz_xxHAePgrBoC-AcQAvD_BwE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shopee.co.id/product/1980705/19184251808/" TargetMode="External"/><Relationship Id="rId20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Relationship Id="rId22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1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4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3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6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5" Type="http://schemas.openxmlformats.org/officeDocument/2006/relationships/hyperlink" Target="https://shopee.co.id/product/292645541/25089829627?gads_t_sig=VTJGc2RHVmtYMTlxTFVSVVRrdENkWVp3RFo3Mkw5czd4Z0hzdEF1WVFibkFnK3RQbFIwMDZlM2xtRlVyd2dja0dSVlprYUNRNkJrV08raFByWTFtRW5jbUd6Yzh4Q2pnVjVKbE55dVEyZUJuWHVwZUJ4Z1JlM0F3VGpnS1hRSDJjeVdCcjVYYzliSnBsMHR3aU8ra1B3PT0&amp;gad_source=4&amp;gad_campaignid=22178753687&amp;gbraid=0AAAAADPpU83oohn5Hj7Ya7kzOzDYzfV6u&amp;gclid=Cj0KCQjwl5jHBhDHARIsAB0YqjxPtK0xPMdJ91S_TNhZ3A5gdcZLsMhHhaEmSIWzd5xzuQt5QCi62fMaAqegEALw_wcB" TargetMode="External"/><Relationship Id="rId28" Type="http://schemas.openxmlformats.org/officeDocument/2006/relationships/hyperlink" Target="https://shopee.co.id/product/775301342/23556585609/" TargetMode="External"/><Relationship Id="rId27" Type="http://schemas.openxmlformats.org/officeDocument/2006/relationships/hyperlink" Target="https://shopee.co.id/product/775301342/23556585609/" TargetMode="External"/><Relationship Id="rId29" Type="http://schemas.openxmlformats.org/officeDocument/2006/relationships/hyperlink" Target="https://shopee.co.id/product/1980705/19184251808/" TargetMode="External"/><Relationship Id="rId11" Type="http://schemas.openxmlformats.org/officeDocument/2006/relationships/hyperlink" Target="https://shopee.co.id/Botol-Pet-Can-330ml-Softdrink-1-Dus-250pcs-Model-Kaleng-Soda-i.1046406480.26754740918" TargetMode="External"/><Relationship Id="rId10" Type="http://schemas.openxmlformats.org/officeDocument/2006/relationships/hyperlink" Target="https://shopee.co.id/Botol-Pet-Can-330ml-Softdrink-1-Dus-250pcs-Model-Kaleng-Soda-i.1046406480.26754740918" TargetMode="External"/><Relationship Id="rId13" Type="http://schemas.openxmlformats.org/officeDocument/2006/relationships/hyperlink" Target="https://shopee.co.id/Botol-Pet-Can-500ml-Tutup-Aluminium-Desain-Kaleng-Soda-i.1046406480.27854740798" TargetMode="External"/><Relationship Id="rId12" Type="http://schemas.openxmlformats.org/officeDocument/2006/relationships/hyperlink" Target="https://shopee.co.id/Botol-Pet-Can-500ml-Tutup-Aluminium-Desain-Kaleng-Soda-i.1046406480.27854740798" TargetMode="External"/><Relationship Id="rId15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Relationship Id="rId14" Type="http://schemas.openxmlformats.org/officeDocument/2006/relationships/hyperlink" Target="https://shopee.co.id/Botol-Pet-Can-500ml-Tutup-Aluminium-Desain-Kaleng-Soda-i.1046406480.27854740798" TargetMode="External"/><Relationship Id="rId17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Relationship Id="rId16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Relationship Id="rId19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Relationship Id="rId18" Type="http://schemas.openxmlformats.org/officeDocument/2006/relationships/hyperlink" Target="https://shopee.co.id/product/953659153/29566928100?gads_t_sig=VTJGc2RHVmtYMTlxTFVSVVRrdENkWVp3RFo3Mkw5czd4Z0hzdEF1WVFia0xGeWYzRXd3V3dMNlU2dTFLOFczSzZVdUt1M0NRVEdRWi8wazVCZnF1ak1YZTd0bnp5OEF2VFZCdnVidURRZENPeEd2c0ZGRHFMa25rdmNUZFNsMjNnb3F3M2pLZUJnSEo1MU9UWmRuODZnPT0&amp;gad_source=4&amp;gad_campaignid=22178753687&amp;gbraid=0AAAAADPpU83oohn5Hj7Ya7kzOzDYzfV6u&amp;gclid=Cj0KCQjwl5jHBhDHARIsAB0Yqjxm0_nlQQalSC1igRxt0IyPLqCbtL514RJbhot28L4H4EqmDETVhg4aAlICEALw_wc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.id/Portable-Cup-Tumbler-Coffee-Mug-Coffee-Tea-Cup-Stainless-Steel-300ml-(SSB05)-i.4940301.23310592030" TargetMode="External"/><Relationship Id="rId2" Type="http://schemas.openxmlformats.org/officeDocument/2006/relationships/hyperlink" Target="https://shopee.co.id/Take-Away-Tumbler-Carry-Coffee-Mug-Stainless-Steel-dengan-Gantungan-550-ml-(ST8205)-i.4940301.41211167597" TargetMode="External"/><Relationship Id="rId3" Type="http://schemas.openxmlformats.org/officeDocument/2006/relationships/hyperlink" Target="https://shopee.co.id/Tumbler-Mug-Rose-Dua-Sisi-Datar-Polos-Stainless-Steel-475-ml-Dupe-Corkc*cle-i.4940301.26460474318" TargetMode="External"/><Relationship Id="rId4" Type="http://schemas.openxmlformats.org/officeDocument/2006/relationships/hyperlink" Target="https://shopee.co.id/Tumbler-Stainless-Steel-Polos-Tutup-Kayu-Vacuum-Insulated-500ml-(HN2077)-i.4940301.28676934054" TargetMode="External"/><Relationship Id="rId9" Type="http://schemas.openxmlformats.org/officeDocument/2006/relationships/hyperlink" Target="https://shopee.co.id/Botol-air-Minum-Plastik-Tumbler-Colada-500ml-Souvernir-Berkualitas-i.119311106.5578250415?xptdk=3417aca5-33f6-4ab2-89f3-06c343aaea06" TargetMode="External"/><Relationship Id="rId5" Type="http://schemas.openxmlformats.org/officeDocument/2006/relationships/hyperlink" Target="https://shopee.co.id/Tumbler-Polos-Stainless-Steel-dengan-Handle-Silikon-470ml-(HN2053)-i.4940301.28776934407" TargetMode="External"/><Relationship Id="rId6" Type="http://schemas.openxmlformats.org/officeDocument/2006/relationships/hyperlink" Target="https://shopee.co.id/Coffee-Mug-Coffee-Tea-Cup-Stainless-Steel-Polos-350ml-(ST9133)-i.4940301.40053820183?sp_atk=64dd6ee6-6396-406d-8fed-4d3edfb76734&amp;xptdk=64dd6ee6-6396-406d-8fed-4d3edfb76734" TargetMode="External"/><Relationship Id="rId7" Type="http://schemas.openxmlformats.org/officeDocument/2006/relationships/hyperlink" Target="https://shopee.co.id/Coaster-rubber-design-custom-i.18420168.41406519924" TargetMode="External"/><Relationship Id="rId8" Type="http://schemas.openxmlformats.org/officeDocument/2006/relationships/hyperlink" Target="https://shopee.co.id/Coaster-rubber-design-custom-i.18420168.41406519924" TargetMode="External"/><Relationship Id="rId31" Type="http://schemas.openxmlformats.org/officeDocument/2006/relationships/drawing" Target="../drawings/drawing7.xml"/><Relationship Id="rId30" Type="http://schemas.openxmlformats.org/officeDocument/2006/relationships/hyperlink" Target="https://shopee.co.id/product/44190691/5541254375?gads_t_sig=VTJGc2RHVmtYMTlxTFVSVVRrdENkYmtjM2ptSThtQnlIMHo4VnVHYmxTeG92eVdxK2FlZEhZMFpSSXVDeXRyUDdmRDRoSDZPUjZhVDNQQm5LK0JUeTdMclJhTmdKMHFYUzZ6eldaSnNkcWIzNnpiU0VYVDNuWjlRM2lqNWlSK0w&amp;gad_source=1&amp;gad_campaignid=22327396013&amp;gbraid=0AAAAADPpU80SVSmF1WvSlgYPxnvjNs7hh&amp;gclid=Cj0KCQjw4a3OBhCHARIsAChaqJO-kIEqWY2vpNjdPfbK4yqlrXWBbKO5gHFmz80q95g-RLMCqjq-OH4aAi64EALw_wcB" TargetMode="External"/><Relationship Id="rId20" Type="http://schemas.openxmlformats.org/officeDocument/2006/relationships/hyperlink" Target="https://shopee.co.id/Best-Seller!!!-Tas-Ransel-Laptop-Ransel-Pria-Wanita-Span-PU-Hitam-i.373230386.28607299923?extraParams=%7B%22display_model_id%22%3A195294521256%2C%22model_selection_logic%22%3A3%7D&amp;sp_atk=65b696ef-28b0-43fb-9110-c3848fe90d1d&amp;xptdk=65b696ef-28b0-43fb-9110-c3848fe90d1d" TargetMode="External"/><Relationship Id="rId22" Type="http://schemas.openxmlformats.org/officeDocument/2006/relationships/hyperlink" Target="https://shopee.co.id/TAS-RANSEL-OCEVA-BACKPACK-PREMIUM-QUALITY-WATERPROOF-LAPTOP-PRIA-WANITA-TAS-SEKOLAH-KULIAH-KERJA-BYR-05-i.69940689.18265443603?extraParams=%7B%22display_model_id%22%3A213361701778%2C%22model_selection_logic%22%3A3%7D&amp;sp_atk=d3751565-4164-423a-bc89-a8b68a008c00&amp;xptdk=d3751565-4164-423a-bc89-a8b68a008c00" TargetMode="External"/><Relationship Id="rId21" Type="http://schemas.openxmlformats.org/officeDocument/2006/relationships/hyperlink" Target="https://shopee.co.id/FITRAS-Tas-Ransel-Pria-Wanita-Anti-Air-Tas-Laptop-Punggung-Warna-Hitam-i.965547321.40110652981?extraParams=%7B%22display_model_id%22%3A265896165755%2C%22model_selection_logic%22%3A3%7D&amp;sp_atk=8a298018-1426-4d57-a7f6-68aa0cdeadb7&amp;xptdk=8a298018-1426-4d57-a7f6-68aa0cdeadb7" TargetMode="External"/><Relationship Id="rId24" Type="http://schemas.openxmlformats.org/officeDocument/2006/relationships/hyperlink" Target="https://shopee.co.id/product/51925611/4818767491?gads_t_sig=VTJGc2RHVmtYMTlxTFVSVVRrdENkVEg0SDd3VWo1MDQyT052d3EvY1B4WlVsa240WmVINkNkM2lZQVlqTmR3cjNJQnNHTDhmaHhoRzRST3orQ1lmemhhMWgxRzJqUU80Yy8zK2w2WUJYVkZzdEFQT1A3OWw5RDR1UFZUVnNmeWY" TargetMode="External"/><Relationship Id="rId23" Type="http://schemas.openxmlformats.org/officeDocument/2006/relationships/hyperlink" Target="https://shopee.co.id/product/223032375/41752956272?gads_t_sig=VTJGc2RHVmtYMTlxTFVSVVRrdENkWVp3RFo3Mkw5czd4Z0hzdEF1WVFibmZ3WWxwU3pMb2RyRW8rYmRJaWkxOWJmWG5peWpFd0lUTVcyVXFXbDBCY0V4RGNkK01ROHZGZEZmaVk0YzIxSGVrK1g1MnJPb21WVWFBdGtxOVFQMDMxQVpqZC9lNlJxMG1kYlRlaFVwa3l3PT0&amp;is_seller=true&amp;utm_campaign=s223032375_ss_id_gmax_pmax-maximizeconv&amp;utm_source=google&amp;utm_medium=seller&amp;utm_content=audio&amp;gad_source=4&amp;gad_campaignid=22579784612&amp;gbraid=0AAAAA_Yfeqj51dbW4m8f9tQvu2B09jf7i&amp;gclid=CjwKCAiA8bvIBhBJEiwAu5ayrCYdGQ9oSAy_iLTjwqqgSff0ugbOlBNkljrp9Nfuxw74c1rehX7-fBoCal4QAvD_BwE" TargetMode="External"/><Relationship Id="rId26" Type="http://schemas.openxmlformats.org/officeDocument/2006/relationships/hyperlink" Target="https://shopee.co.id/product/11738739/44327768126/" TargetMode="External"/><Relationship Id="rId25" Type="http://schemas.openxmlformats.org/officeDocument/2006/relationships/hyperlink" Target="https://shopee.co.id/product/11738739/44327768126/" TargetMode="External"/><Relationship Id="rId28" Type="http://schemas.openxmlformats.org/officeDocument/2006/relationships/hyperlink" Target="https://shopee.co.id/product/533415044/27513626606?d_id=37c0c&amp;uls_trackid=554sufma01f9&amp;utm_content=mYiSos3PAo8C3ZA1t7k7bfeNSCf" TargetMode="External"/><Relationship Id="rId27" Type="http://schemas.openxmlformats.org/officeDocument/2006/relationships/hyperlink" Target="https://shopee.co.id/OSM-JKT-T6536-Tas-Makeup-Puffy-Unik-Pouch-Travel-Mini-Serbaguna-Makeup-Storage-Bag-Bahan-Lembut-Tas-Puffy-Lucu-Multifungsi-Tas-Fashion-i.231799972.29472581813" TargetMode="External"/><Relationship Id="rId29" Type="http://schemas.openxmlformats.org/officeDocument/2006/relationships/hyperlink" Target="https://shopee.co.id/Tas-Kosmetik-Washbag-Pouch-make-up-Cosmetic-Bag-Organizer-Tas-Make-Up-Tas-Kosmetik-Anti-Air-Tas-Kosmetik-Travel-Transparan-Pouch-Kosmetik-Makeup-Bag-i.533415044.19060487646" TargetMode="External"/><Relationship Id="rId11" Type="http://schemas.openxmlformats.org/officeDocument/2006/relationships/hyperlink" Target="https://shopee.co.id/Tumbler-Minum-Freesip-Botol-Thermos-Aesthetic-Insulated-Stainless-Steel-SUS304-Vacuum-Flask-600ml-710ml-i.8583074.42702515838?xptdk=9e8e9b11-0c76-4842-a732-65f497ab3266" TargetMode="External"/><Relationship Id="rId10" Type="http://schemas.openxmlformats.org/officeDocument/2006/relationships/hyperlink" Target="https://shopee.co.id/Tumbler-Freesip-Twist-Look-Stainless-SUS-304-2-Model-Cara-Minum-Sedot-Teguk-Gantungan-Anti-Bocor-i.881892636.27141446683?xptdk=b814d12b-0250-40b7-bedd-0f409b3693bb" TargetMode="External"/><Relationship Id="rId13" Type="http://schemas.openxmlformats.org/officeDocument/2006/relationships/hyperlink" Target="https://shopee.co.id/Tumbler-Termos-Botol-Sport-Jumbo-Stainless-Steel-Double-Wall-600-800-1000-ml-(SD1211)-i.4940301.24460535296?xptdk=28498f2e-b577-44eb-b0de-a23fbb99f83a" TargetMode="External"/><Relationship Id="rId12" Type="http://schemas.openxmlformats.org/officeDocument/2006/relationships/hyperlink" Target="https://shopee.co.id/%F0%9D%97%A0%F0%9D%97%AE%F0%9D%98%81%F0%9D%97%AE%F0%9D%97%BA%F0%9D%97%AE%F0%9D%98%81%F0%9D%97%AE-%F0%9D%97%9A%F0%9D%97%BF%F0%9D%97%BC%F0%9D%98%80%F0%9D%97%B6%F0%9D%97%BF-Botol-Tumbler-Stainless-316-Warna-Lucu-650ml-Dengan-Gagang-Sedotan-Termos-Gagang-i.1229920039.44155910701?xptdk=34d1ef79-458e-47d4-a81c-d2a78972e500" TargetMode="External"/><Relationship Id="rId15" Type="http://schemas.openxmlformats.org/officeDocument/2006/relationships/hyperlink" Target="https://shopee.co.id/Tumbler-Cardigan-Termos-Stainless-Steel-Dengan-Gantungan-350ml-500-ml-(HN2107-HN2108)-i.4940301.28590093986?xptdk=47d47d09-dfd5-4840-8920-1168b6f708a6" TargetMode="External"/><Relationship Id="rId14" Type="http://schemas.openxmlformats.org/officeDocument/2006/relationships/hyperlink" Target="https://shopee.co.id/Tumbler-Mug-Kopi-Geometris-Bear-Coffee-Mug-dengan-Sedotan-600ml-(HN242-HN243-HN250)-i.4940301.25903352677?xptdk=1d9498aa-efb8-4ac5-b915-882c1f9a9464" TargetMode="External"/><Relationship Id="rId17" Type="http://schemas.openxmlformats.org/officeDocument/2006/relationships/hyperlink" Target="https://shopee.co.id/product/218155725/14025584383" TargetMode="External"/><Relationship Id="rId16" Type="http://schemas.openxmlformats.org/officeDocument/2006/relationships/hyperlink" Target="https://shopee.co.id/Custom-Bandana-Multifungsi-Satuan-Fullprint-i.154613273.5476538643?xptdk=eab51e4c-3264-4f62-9371-fadb384e643e" TargetMode="External"/><Relationship Id="rId19" Type="http://schemas.openxmlformats.org/officeDocument/2006/relationships/hyperlink" Target="https://shopee.co.id/Tas-Ransel-Backpack-Fashion-Tas-Punggung-Sport-Unisex-Tas-Laptop-USB-Tas-Sekolah-Polos-WY24-i.1183133133.25972876749?extraParams=%7B%22display_model_id%22%3A242560755052%2C%22model_selection_logic%22%3A3%7D&amp;sp_atk=f1c9056d-8a7a-4d37-837e-655f1dd5d01b&amp;xptdk=f1c9056d-8a7a-4d37-837e-655f1dd5d01b" TargetMode="External"/><Relationship Id="rId18" Type="http://schemas.openxmlformats.org/officeDocument/2006/relationships/hyperlink" Target="https://id.shp.ee/M9Km3M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9.63"/>
    <col customWidth="1" min="4" max="4" width="11.63"/>
    <col customWidth="1" min="5" max="5" width="18.5"/>
    <col customWidth="1" min="6" max="6" width="11.63"/>
    <col customWidth="1" min="7" max="7" width="12.75"/>
    <col customWidth="1" min="8" max="8" width="17.0"/>
    <col customWidth="1" min="9" max="9" width="16.75"/>
    <col customWidth="1" min="10" max="10" width="17.25"/>
    <col hidden="1" min="11" max="12" width="12.63"/>
  </cols>
  <sheetData>
    <row r="1">
      <c r="A1" s="1"/>
      <c r="B1" s="2" t="s">
        <v>0</v>
      </c>
      <c r="J1" s="1"/>
    </row>
    <row r="2">
      <c r="A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3" t="s">
        <v>1</v>
      </c>
      <c r="D4" s="1"/>
      <c r="E4" s="3" t="s">
        <v>2</v>
      </c>
      <c r="G4" s="1"/>
      <c r="H4" s="3" t="s">
        <v>3</v>
      </c>
      <c r="J4" s="1"/>
    </row>
    <row r="5">
      <c r="A5" s="1"/>
      <c r="B5" s="4" t="s">
        <v>4</v>
      </c>
      <c r="C5" s="5">
        <v>8.0</v>
      </c>
      <c r="D5" s="1"/>
      <c r="E5" s="6" t="s">
        <v>5</v>
      </c>
      <c r="F5" s="7">
        <v>1.0E7</v>
      </c>
      <c r="G5" s="1"/>
      <c r="H5" s="6" t="s">
        <v>6</v>
      </c>
      <c r="I5" s="7">
        <v>10000.0</v>
      </c>
      <c r="J5" s="1"/>
    </row>
    <row r="6">
      <c r="A6" s="1"/>
      <c r="B6" s="6" t="s">
        <v>7</v>
      </c>
      <c r="C6" s="5">
        <v>100.0</v>
      </c>
      <c r="D6" s="1"/>
      <c r="E6" s="6" t="s">
        <v>8</v>
      </c>
      <c r="F6" s="7">
        <v>260000.0</v>
      </c>
      <c r="G6" s="1"/>
      <c r="H6" s="6" t="s">
        <v>9</v>
      </c>
      <c r="I6" s="8">
        <v>0.02</v>
      </c>
      <c r="J6" s="1"/>
    </row>
    <row r="7">
      <c r="A7" s="1"/>
      <c r="B7" s="6" t="s">
        <v>10</v>
      </c>
      <c r="C7" s="5">
        <v>41.0</v>
      </c>
      <c r="D7" s="1"/>
      <c r="E7" s="6" t="s">
        <v>11</v>
      </c>
      <c r="F7" s="7">
        <v>3200.0</v>
      </c>
      <c r="G7" s="1"/>
      <c r="H7" s="1"/>
      <c r="I7" s="1"/>
      <c r="J7" s="1"/>
    </row>
    <row r="8">
      <c r="A8" s="1"/>
      <c r="B8" s="6" t="s">
        <v>12</v>
      </c>
      <c r="C8" s="5">
        <v>30.0</v>
      </c>
      <c r="D8" s="1"/>
      <c r="E8" s="6" t="s">
        <v>13</v>
      </c>
      <c r="F8" s="9">
        <v>1.0</v>
      </c>
      <c r="G8" s="1"/>
      <c r="H8" s="1"/>
      <c r="I8" s="1"/>
      <c r="J8" s="1"/>
    </row>
    <row r="9">
      <c r="A9" s="1"/>
      <c r="B9" s="6" t="s">
        <v>14</v>
      </c>
      <c r="C9" s="5">
        <v>11.0</v>
      </c>
      <c r="D9" s="1"/>
      <c r="E9" s="6" t="s">
        <v>15</v>
      </c>
      <c r="F9" s="7">
        <v>7000.0</v>
      </c>
      <c r="G9" s="1"/>
      <c r="H9" s="1"/>
      <c r="I9" s="1"/>
      <c r="J9" s="1"/>
    </row>
    <row r="10">
      <c r="A10" s="1"/>
      <c r="B10" s="6" t="s">
        <v>16</v>
      </c>
      <c r="C10" s="5">
        <v>10.0</v>
      </c>
      <c r="D10" s="1"/>
      <c r="E10" s="1"/>
      <c r="F10" s="1"/>
      <c r="G10" s="1"/>
      <c r="H10" s="1"/>
      <c r="I10" s="1"/>
      <c r="J10" s="1"/>
    </row>
    <row r="11">
      <c r="A11" s="1"/>
      <c r="B11" s="6" t="s">
        <v>17</v>
      </c>
      <c r="C11" s="5">
        <v>1.0</v>
      </c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0"/>
      <c r="E12" s="1"/>
      <c r="F12" s="1"/>
      <c r="G12" s="1"/>
      <c r="H12" s="1"/>
      <c r="I12" s="1"/>
      <c r="J12" s="1"/>
    </row>
    <row r="13">
      <c r="A13" s="1"/>
      <c r="B13" s="1"/>
      <c r="C13" s="1"/>
      <c r="D13" s="10"/>
      <c r="E13" s="1"/>
      <c r="F13" s="10"/>
      <c r="G13" s="10"/>
      <c r="H13" s="1"/>
      <c r="I13" s="1"/>
      <c r="J13" s="1"/>
    </row>
    <row r="14">
      <c r="A14" s="1"/>
      <c r="B14" s="11" t="s">
        <v>18</v>
      </c>
      <c r="C14" s="11" t="s">
        <v>19</v>
      </c>
      <c r="D14" s="12" t="s">
        <v>20</v>
      </c>
      <c r="E14" s="13" t="s">
        <v>21</v>
      </c>
      <c r="F14" s="12" t="s">
        <v>22</v>
      </c>
      <c r="G14" s="13" t="s">
        <v>23</v>
      </c>
      <c r="H14" s="12" t="s">
        <v>24</v>
      </c>
      <c r="I14" s="13" t="s">
        <v>25</v>
      </c>
      <c r="J14" s="1"/>
      <c r="K14" s="14" t="s">
        <v>26</v>
      </c>
      <c r="L14" s="14" t="s">
        <v>27</v>
      </c>
    </row>
    <row r="15">
      <c r="A15" s="1"/>
      <c r="B15" s="15">
        <f t="shared" ref="B15:B19" si="3">C15*$C$6</f>
        <v>100</v>
      </c>
      <c r="C15" s="15">
        <f>$C$11</f>
        <v>1</v>
      </c>
      <c r="D15" s="16">
        <f t="shared" ref="D15:D19" si="4">$K15*$F$5/$B15</f>
        <v>10000</v>
      </c>
      <c r="E15" s="16">
        <f t="shared" ref="E15:E19" si="5">$L15*$F$6/$B15</f>
        <v>31200</v>
      </c>
      <c r="F15" s="16">
        <f t="shared" ref="F15:G15" si="1">($C$5*$F$7)+($F$8*$F$7)+$F$9+D15</f>
        <v>45800</v>
      </c>
      <c r="G15" s="16">
        <f t="shared" si="1"/>
        <v>67000</v>
      </c>
      <c r="H15" s="16">
        <f t="shared" ref="H15:I15" si="2">ROUNDUP(($I$6*F15)+F15+$I$5,-3)</f>
        <v>57000</v>
      </c>
      <c r="I15" s="16">
        <f t="shared" si="2"/>
        <v>79000</v>
      </c>
      <c r="J15" s="1"/>
      <c r="K15" s="17">
        <f t="shared" ref="K15:K19" si="8">IF((($C$7*$C$8*$C$9/1000000)*$C15)&lt;0.1,0.1,(($C$7*$C$8*$C$9/1000000)*$C15))</f>
        <v>0.1</v>
      </c>
      <c r="L15" s="17">
        <f t="shared" ref="L15:L19" si="9">IF($K15&gt;(($C$10+2)*$C15),$K15,(($C$10+2)*$C15))</f>
        <v>12</v>
      </c>
    </row>
    <row r="16">
      <c r="A16" s="1"/>
      <c r="B16" s="15">
        <f t="shared" si="3"/>
        <v>200</v>
      </c>
      <c r="C16" s="15">
        <f t="shared" ref="C16:C19" si="10">C15+1</f>
        <v>2</v>
      </c>
      <c r="D16" s="16">
        <f t="shared" si="4"/>
        <v>5000</v>
      </c>
      <c r="E16" s="16">
        <f t="shared" si="5"/>
        <v>31200</v>
      </c>
      <c r="F16" s="16">
        <f t="shared" ref="F16:G16" si="6">($C$5*$F$7)+($F$8*$F$7)+$F$9+D16</f>
        <v>40800</v>
      </c>
      <c r="G16" s="16">
        <f t="shared" si="6"/>
        <v>67000</v>
      </c>
      <c r="H16" s="16">
        <f t="shared" ref="H16:I16" si="7">ROUNDUP(($I$6*F16)+F16+$I$5,-3)</f>
        <v>52000</v>
      </c>
      <c r="I16" s="16">
        <f t="shared" si="7"/>
        <v>79000</v>
      </c>
      <c r="J16" s="1"/>
      <c r="K16" s="17">
        <f t="shared" si="8"/>
        <v>0.1</v>
      </c>
      <c r="L16" s="17">
        <f t="shared" si="9"/>
        <v>24</v>
      </c>
    </row>
    <row r="17">
      <c r="A17" s="1"/>
      <c r="B17" s="15">
        <f t="shared" si="3"/>
        <v>300</v>
      </c>
      <c r="C17" s="15">
        <f t="shared" si="10"/>
        <v>3</v>
      </c>
      <c r="D17" s="16">
        <f t="shared" si="4"/>
        <v>3333.333333</v>
      </c>
      <c r="E17" s="16">
        <f t="shared" si="5"/>
        <v>31200</v>
      </c>
      <c r="F17" s="16">
        <f t="shared" ref="F17:G17" si="11">($C$5*$F$7)+($F$8*$F$7)+$F$9+D17</f>
        <v>39133.33333</v>
      </c>
      <c r="G17" s="16">
        <f t="shared" si="11"/>
        <v>67000</v>
      </c>
      <c r="H17" s="16">
        <f t="shared" ref="H17:I17" si="12">ROUNDUP(($I$6*F17)+F17+$I$5,-3)</f>
        <v>50000</v>
      </c>
      <c r="I17" s="16">
        <f t="shared" si="12"/>
        <v>79000</v>
      </c>
      <c r="J17" s="1"/>
      <c r="K17" s="17">
        <f t="shared" si="8"/>
        <v>0.1</v>
      </c>
      <c r="L17" s="17">
        <f t="shared" si="9"/>
        <v>36</v>
      </c>
    </row>
    <row r="18">
      <c r="A18" s="1"/>
      <c r="B18" s="15">
        <f t="shared" si="3"/>
        <v>400</v>
      </c>
      <c r="C18" s="15">
        <f t="shared" si="10"/>
        <v>4</v>
      </c>
      <c r="D18" s="16">
        <f t="shared" si="4"/>
        <v>2500</v>
      </c>
      <c r="E18" s="16">
        <f t="shared" si="5"/>
        <v>31200</v>
      </c>
      <c r="F18" s="16">
        <f t="shared" ref="F18:G18" si="13">($C$5*$F$7)+($F$8*$F$7)+$F$9+D18</f>
        <v>38300</v>
      </c>
      <c r="G18" s="16">
        <f t="shared" si="13"/>
        <v>67000</v>
      </c>
      <c r="H18" s="16">
        <f t="shared" ref="H18:I18" si="14">ROUNDUP(($I$6*F18)+F18+$I$5,-3)</f>
        <v>50000</v>
      </c>
      <c r="I18" s="16">
        <f t="shared" si="14"/>
        <v>79000</v>
      </c>
      <c r="J18" s="1"/>
      <c r="K18" s="17">
        <f t="shared" si="8"/>
        <v>0.1</v>
      </c>
      <c r="L18" s="17">
        <f t="shared" si="9"/>
        <v>48</v>
      </c>
    </row>
    <row r="19">
      <c r="A19" s="1"/>
      <c r="B19" s="15">
        <f t="shared" si="3"/>
        <v>500</v>
      </c>
      <c r="C19" s="15">
        <f t="shared" si="10"/>
        <v>5</v>
      </c>
      <c r="D19" s="16">
        <f t="shared" si="4"/>
        <v>2000</v>
      </c>
      <c r="E19" s="16">
        <f t="shared" si="5"/>
        <v>31200</v>
      </c>
      <c r="F19" s="16">
        <f t="shared" ref="F19:G19" si="15">($C$5*$F$7)+($F$8*$F$7)+$F$9+D19</f>
        <v>37800</v>
      </c>
      <c r="G19" s="16">
        <f t="shared" si="15"/>
        <v>67000</v>
      </c>
      <c r="H19" s="16">
        <f t="shared" ref="H19:I19" si="16">ROUNDUP(($I$6*F19)+F19+$I$5,-3)</f>
        <v>49000</v>
      </c>
      <c r="I19" s="16">
        <f t="shared" si="16"/>
        <v>79000</v>
      </c>
      <c r="J19" s="1"/>
      <c r="K19" s="17">
        <f t="shared" si="8"/>
        <v>0.1</v>
      </c>
      <c r="L19" s="17">
        <f t="shared" si="9"/>
        <v>60</v>
      </c>
    </row>
    <row r="20">
      <c r="A20" s="1"/>
      <c r="B20" s="18"/>
      <c r="C20" s="18"/>
      <c r="D20" s="7"/>
      <c r="E20" s="7"/>
      <c r="F20" s="7"/>
      <c r="G20" s="7"/>
      <c r="H20" s="7"/>
      <c r="I20" s="7"/>
      <c r="J20" s="1"/>
      <c r="K20" s="17"/>
      <c r="L20" s="17"/>
    </row>
    <row r="21" hidden="1">
      <c r="A21" s="1"/>
      <c r="B21" s="19" t="s">
        <v>1</v>
      </c>
      <c r="D21" s="1"/>
      <c r="E21" s="19" t="s">
        <v>2</v>
      </c>
      <c r="G21" s="1"/>
      <c r="H21" s="19" t="s">
        <v>3</v>
      </c>
      <c r="J21" s="1"/>
    </row>
    <row r="22" hidden="1">
      <c r="A22" s="1"/>
      <c r="B22" s="6" t="s">
        <v>7</v>
      </c>
      <c r="C22" s="5">
        <v>20.0</v>
      </c>
      <c r="D22" s="1"/>
      <c r="E22" s="6" t="s">
        <v>5</v>
      </c>
      <c r="F22" s="7">
        <v>1.0E7</v>
      </c>
      <c r="G22" s="1"/>
      <c r="H22" s="6" t="s">
        <v>6</v>
      </c>
      <c r="I22" s="7">
        <v>70000.0</v>
      </c>
      <c r="J22" s="1"/>
    </row>
    <row r="23" hidden="1">
      <c r="A23" s="1"/>
      <c r="B23" s="6" t="s">
        <v>10</v>
      </c>
      <c r="C23" s="5">
        <v>31.0</v>
      </c>
      <c r="D23" s="1"/>
      <c r="E23" s="6" t="s">
        <v>8</v>
      </c>
      <c r="F23" s="7">
        <v>260000.0</v>
      </c>
      <c r="G23" s="1"/>
      <c r="H23" s="6" t="s">
        <v>9</v>
      </c>
      <c r="I23" s="8">
        <v>0.02</v>
      </c>
      <c r="J23" s="1"/>
    </row>
    <row r="24" hidden="1">
      <c r="A24" s="1"/>
      <c r="B24" s="6" t="s">
        <v>12</v>
      </c>
      <c r="C24" s="5">
        <v>21.0</v>
      </c>
      <c r="D24" s="1"/>
      <c r="E24" s="6" t="s">
        <v>11</v>
      </c>
      <c r="F24" s="7">
        <v>3000.0</v>
      </c>
      <c r="G24" s="1"/>
      <c r="H24" s="1"/>
      <c r="I24" s="1"/>
      <c r="J24" s="1"/>
    </row>
    <row r="25" hidden="1">
      <c r="A25" s="1"/>
      <c r="B25" s="6" t="s">
        <v>14</v>
      </c>
      <c r="C25" s="5">
        <v>68.5</v>
      </c>
      <c r="D25" s="1"/>
      <c r="E25" s="6" t="s">
        <v>15</v>
      </c>
      <c r="F25" s="7">
        <v>100000.0</v>
      </c>
      <c r="G25" s="1"/>
      <c r="H25" s="1"/>
      <c r="I25" s="1"/>
      <c r="J25" s="1"/>
    </row>
    <row r="26" hidden="1">
      <c r="A26" s="1"/>
      <c r="B26" s="6" t="s">
        <v>16</v>
      </c>
      <c r="C26" s="5">
        <v>19.0</v>
      </c>
      <c r="D26" s="1"/>
      <c r="G26" s="1"/>
      <c r="H26" s="1"/>
      <c r="I26" s="10"/>
      <c r="J26" s="1"/>
    </row>
    <row r="27" hidden="1">
      <c r="A27" s="1"/>
      <c r="B27" s="6" t="s">
        <v>17</v>
      </c>
      <c r="C27" s="5">
        <v>1.0</v>
      </c>
      <c r="D27" s="1"/>
      <c r="E27" s="1"/>
      <c r="F27" s="1"/>
      <c r="G27" s="1"/>
      <c r="H27" s="1"/>
      <c r="I27" s="10"/>
      <c r="J27" s="1"/>
    </row>
    <row r="28" hidden="1">
      <c r="A28" s="1"/>
      <c r="D28" s="1"/>
      <c r="E28" s="1"/>
      <c r="F28" s="1"/>
      <c r="G28" s="1"/>
      <c r="H28" s="1"/>
      <c r="I28" s="1"/>
      <c r="J28" s="1"/>
    </row>
    <row r="29" hidden="1">
      <c r="A29" s="1"/>
      <c r="B29" s="1"/>
      <c r="C29" s="1"/>
      <c r="D29" s="10"/>
      <c r="E29" s="10"/>
      <c r="F29" s="1"/>
      <c r="G29" s="1"/>
      <c r="H29" s="1"/>
      <c r="I29" s="1"/>
      <c r="J29" s="1"/>
    </row>
    <row r="30" hidden="1">
      <c r="A30" s="20" t="s">
        <v>28</v>
      </c>
      <c r="B30" s="21"/>
      <c r="C30" s="20" t="s">
        <v>28</v>
      </c>
      <c r="D30" s="20" t="s">
        <v>28</v>
      </c>
      <c r="E30" s="1"/>
      <c r="F30" s="10"/>
      <c r="G30" s="10"/>
      <c r="H30" s="1"/>
      <c r="I30" s="1"/>
      <c r="J30" s="1"/>
    </row>
    <row r="31" hidden="1">
      <c r="A31" s="22" t="s">
        <v>18</v>
      </c>
      <c r="B31" s="11" t="s">
        <v>19</v>
      </c>
      <c r="C31" s="22" t="s">
        <v>29</v>
      </c>
      <c r="D31" s="22" t="s">
        <v>30</v>
      </c>
      <c r="E31" s="12" t="s">
        <v>20</v>
      </c>
      <c r="F31" s="13" t="s">
        <v>21</v>
      </c>
      <c r="G31" s="12" t="s">
        <v>22</v>
      </c>
      <c r="H31" s="13" t="s">
        <v>23</v>
      </c>
      <c r="I31" s="12" t="s">
        <v>24</v>
      </c>
      <c r="J31" s="13" t="s">
        <v>25</v>
      </c>
      <c r="K31" s="14" t="s">
        <v>26</v>
      </c>
      <c r="L31" s="14" t="s">
        <v>27</v>
      </c>
    </row>
    <row r="32" hidden="1">
      <c r="A32" s="15">
        <v>12.0</v>
      </c>
      <c r="B32" s="23">
        <f t="shared" ref="B32:B37" si="18">if(A32="","", roundup(A32/$C$22,0))</f>
        <v>1</v>
      </c>
      <c r="C32" s="23">
        <v>85.0</v>
      </c>
      <c r="D32" s="23">
        <v>0.0</v>
      </c>
      <c r="E32" s="16">
        <f t="shared" ref="E32:E37" si="19">iferror($K32*$F$22/$A32,"")</f>
        <v>83333.33333</v>
      </c>
      <c r="F32" s="16">
        <f t="shared" ref="F32:F37" si="20">iferror($L32*$F$23/$A32,"")</f>
        <v>455000</v>
      </c>
      <c r="G32" s="16">
        <f t="shared" ref="G32:G37" si="21">if(A32="","",($C32*$F$24)+($D32*$F$24)+$F$25+E32)</f>
        <v>438333.3333</v>
      </c>
      <c r="H32" s="16">
        <f t="shared" ref="H32:H37" si="22">if(A32="","",($C32*$F$24)+($D32*$F$24)+$F$25+F32)</f>
        <v>810000</v>
      </c>
      <c r="I32" s="16">
        <f t="shared" ref="I32:J32" si="17">if(A32="","", ROUNDUP(($I$23*G32)+G32+$I$22,-3))</f>
        <v>518000</v>
      </c>
      <c r="J32" s="16">
        <f t="shared" si="17"/>
        <v>897000</v>
      </c>
      <c r="K32" s="17">
        <f t="shared" ref="K32:K37" si="24">if(A32="","", IF((($C$23*$C$24*$C$25/1000000)*$B32)&lt;0.1,0.1,(($C$23*$C$24*$C$25/1000000)*$B32)))</f>
        <v>0.1</v>
      </c>
      <c r="L32" s="17">
        <f t="shared" ref="L32:L37" si="25">IF($K32&gt;(($C$26+2)*$B32),$K32,(($C$26+2)*$B32))</f>
        <v>21</v>
      </c>
    </row>
    <row r="33" hidden="1">
      <c r="A33" s="15">
        <v>18.0</v>
      </c>
      <c r="B33" s="23">
        <f t="shared" si="18"/>
        <v>1</v>
      </c>
      <c r="C33" s="23">
        <v>83.0</v>
      </c>
      <c r="D33" s="23">
        <v>0.0</v>
      </c>
      <c r="E33" s="16">
        <f t="shared" si="19"/>
        <v>55555.55556</v>
      </c>
      <c r="F33" s="16">
        <f t="shared" si="20"/>
        <v>303333.3333</v>
      </c>
      <c r="G33" s="16">
        <f t="shared" si="21"/>
        <v>404555.5556</v>
      </c>
      <c r="H33" s="16">
        <f t="shared" si="22"/>
        <v>652333.3333</v>
      </c>
      <c r="I33" s="16">
        <f t="shared" ref="I33:J33" si="23">if(A33="","", ROUNDUP(($I$23*G33)+G33+$I$22,-3))</f>
        <v>483000</v>
      </c>
      <c r="J33" s="16">
        <f t="shared" si="23"/>
        <v>736000</v>
      </c>
      <c r="K33" s="17">
        <f t="shared" si="24"/>
        <v>0.1</v>
      </c>
      <c r="L33" s="17">
        <f t="shared" si="25"/>
        <v>21</v>
      </c>
    </row>
    <row r="34" hidden="1">
      <c r="A34" s="15"/>
      <c r="B34" s="23" t="str">
        <f t="shared" si="18"/>
        <v/>
      </c>
      <c r="C34" s="23"/>
      <c r="D34" s="23">
        <v>0.0</v>
      </c>
      <c r="E34" s="16" t="str">
        <f t="shared" si="19"/>
        <v/>
      </c>
      <c r="F34" s="16" t="str">
        <f t="shared" si="20"/>
        <v/>
      </c>
      <c r="G34" s="16" t="str">
        <f t="shared" si="21"/>
        <v/>
      </c>
      <c r="H34" s="16" t="str">
        <f t="shared" si="22"/>
        <v/>
      </c>
      <c r="I34" s="16" t="str">
        <f t="shared" ref="I34:J34" si="26">if(A34="","", ROUNDUP(($I$23*G34)+G34+$I$22,-3))</f>
        <v/>
      </c>
      <c r="J34" s="16" t="str">
        <f t="shared" si="26"/>
        <v/>
      </c>
      <c r="K34" s="17" t="str">
        <f t="shared" si="24"/>
        <v/>
      </c>
      <c r="L34" s="17" t="str">
        <f t="shared" si="25"/>
        <v/>
      </c>
    </row>
    <row r="35" hidden="1">
      <c r="A35" s="15"/>
      <c r="B35" s="23" t="str">
        <f t="shared" si="18"/>
        <v/>
      </c>
      <c r="C35" s="23"/>
      <c r="D35" s="23">
        <v>0.0</v>
      </c>
      <c r="E35" s="16" t="str">
        <f t="shared" si="19"/>
        <v/>
      </c>
      <c r="F35" s="16" t="str">
        <f t="shared" si="20"/>
        <v/>
      </c>
      <c r="G35" s="16" t="str">
        <f t="shared" si="21"/>
        <v/>
      </c>
      <c r="H35" s="16" t="str">
        <f t="shared" si="22"/>
        <v/>
      </c>
      <c r="I35" s="16" t="str">
        <f t="shared" ref="I35:J35" si="27">if(A35="","", ROUNDUP(($I$23*G35)+G35+$I$22,-3))</f>
        <v/>
      </c>
      <c r="J35" s="16" t="str">
        <f t="shared" si="27"/>
        <v/>
      </c>
      <c r="K35" s="17" t="str">
        <f t="shared" si="24"/>
        <v/>
      </c>
      <c r="L35" s="17" t="str">
        <f t="shared" si="25"/>
        <v/>
      </c>
    </row>
    <row r="36" hidden="1">
      <c r="A36" s="15"/>
      <c r="B36" s="23" t="str">
        <f t="shared" si="18"/>
        <v/>
      </c>
      <c r="C36" s="23"/>
      <c r="D36" s="23"/>
      <c r="E36" s="16" t="str">
        <f t="shared" si="19"/>
        <v/>
      </c>
      <c r="F36" s="16" t="str">
        <f t="shared" si="20"/>
        <v/>
      </c>
      <c r="G36" s="16" t="str">
        <f t="shared" si="21"/>
        <v/>
      </c>
      <c r="H36" s="16" t="str">
        <f t="shared" si="22"/>
        <v/>
      </c>
      <c r="I36" s="16" t="str">
        <f t="shared" ref="I36:J36" si="28">if(A36="","", ROUNDUP(($I$23*G36)+G36+$I$22,-3))</f>
        <v/>
      </c>
      <c r="J36" s="16" t="str">
        <f t="shared" si="28"/>
        <v/>
      </c>
      <c r="K36" s="17" t="str">
        <f t="shared" si="24"/>
        <v/>
      </c>
      <c r="L36" s="17" t="str">
        <f t="shared" si="25"/>
        <v/>
      </c>
    </row>
    <row r="37" hidden="1">
      <c r="A37" s="15"/>
      <c r="B37" s="23" t="str">
        <f t="shared" si="18"/>
        <v/>
      </c>
      <c r="C37" s="23"/>
      <c r="D37" s="23"/>
      <c r="E37" s="16" t="str">
        <f t="shared" si="19"/>
        <v/>
      </c>
      <c r="F37" s="16" t="str">
        <f t="shared" si="20"/>
        <v/>
      </c>
      <c r="G37" s="16" t="str">
        <f t="shared" si="21"/>
        <v/>
      </c>
      <c r="H37" s="16" t="str">
        <f t="shared" si="22"/>
        <v/>
      </c>
      <c r="I37" s="16" t="str">
        <f t="shared" ref="I37:J37" si="29">if(A37="","", ROUNDUP(($I$23*G37)+G37+$I$22,-3))</f>
        <v/>
      </c>
      <c r="J37" s="16" t="str">
        <f t="shared" si="29"/>
        <v/>
      </c>
      <c r="K37" s="17" t="str">
        <f t="shared" si="24"/>
        <v/>
      </c>
      <c r="L37" s="17" t="str">
        <f t="shared" si="25"/>
        <v/>
      </c>
    </row>
    <row r="38" hidden="1">
      <c r="A38" s="1"/>
      <c r="B38" s="18"/>
      <c r="C38" s="18"/>
      <c r="D38" s="7"/>
      <c r="E38" s="7"/>
      <c r="F38" s="7"/>
      <c r="G38" s="7"/>
      <c r="H38" s="7"/>
      <c r="I38" s="7"/>
      <c r="J38" s="1"/>
      <c r="K38" s="17"/>
      <c r="L38" s="17"/>
    </row>
  </sheetData>
  <mergeCells count="7">
    <mergeCell ref="B1:I2"/>
    <mergeCell ref="B4:C4"/>
    <mergeCell ref="E4:F4"/>
    <mergeCell ref="H4:I4"/>
    <mergeCell ref="B21:C21"/>
    <mergeCell ref="E21:F21"/>
    <mergeCell ref="H21:I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 ht="15.75" customHeight="1"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4" t="s">
        <v>39</v>
      </c>
      <c r="K1" s="24" t="s">
        <v>40</v>
      </c>
      <c r="L1" s="24" t="s">
        <v>41</v>
      </c>
      <c r="M1" s="24" t="s">
        <v>42</v>
      </c>
      <c r="N1" s="24" t="s">
        <v>43</v>
      </c>
      <c r="O1" s="24" t="s">
        <v>44</v>
      </c>
      <c r="P1" s="24" t="s">
        <v>45</v>
      </c>
      <c r="Q1" s="24" t="s">
        <v>46</v>
      </c>
      <c r="R1" s="24" t="s">
        <v>47</v>
      </c>
      <c r="S1" s="24" t="s">
        <v>48</v>
      </c>
      <c r="T1" s="24" t="s">
        <v>49</v>
      </c>
    </row>
    <row r="2" ht="90.0" customHeight="1">
      <c r="A2" s="25"/>
      <c r="B2" s="24"/>
      <c r="C2" s="24"/>
      <c r="D2" s="24">
        <v>6000000.0</v>
      </c>
      <c r="E2" s="24">
        <v>200000.0</v>
      </c>
      <c r="F2" s="24">
        <v>2500.0</v>
      </c>
      <c r="G2" s="24">
        <v>200.0</v>
      </c>
      <c r="H2" s="24">
        <f>14.4*F2</f>
        <v>36000</v>
      </c>
      <c r="I2" s="25">
        <f>0*F2/G2</f>
        <v>0</v>
      </c>
      <c r="J2" s="25">
        <f>62.5*50*58.5/1000000*4*D2/G2</f>
        <v>21937.5</v>
      </c>
      <c r="K2" s="25">
        <f>11*2*E2/G2</f>
        <v>22000</v>
      </c>
      <c r="L2" s="24">
        <v>4000.0</v>
      </c>
      <c r="M2" s="25">
        <f t="shared" ref="M2:M27" si="1">H2+I2+J2+L2</f>
        <v>61937.5</v>
      </c>
      <c r="N2" s="25">
        <f t="shared" ref="N2:N5" si="2">H2+I2+K2+L2</f>
        <v>62000</v>
      </c>
      <c r="O2" s="24"/>
      <c r="P2" s="24"/>
      <c r="Q2" s="24">
        <v>7000.0</v>
      </c>
      <c r="R2" s="25">
        <f t="shared" ref="R2:R7" si="3">M2+Q2</f>
        <v>68937.5</v>
      </c>
      <c r="S2" s="25">
        <f t="shared" ref="S2:S5" si="4">N2+Q2</f>
        <v>69000</v>
      </c>
    </row>
    <row r="3" ht="90.0" customHeight="1">
      <c r="B3" s="24"/>
      <c r="C3" s="24"/>
      <c r="D3" s="24">
        <v>6500000.0</v>
      </c>
      <c r="E3" s="24">
        <v>220000.0</v>
      </c>
      <c r="F3" s="24">
        <v>2500.0</v>
      </c>
      <c r="H3" s="24">
        <f>24.5*F3</f>
        <v>61250</v>
      </c>
      <c r="I3" s="25">
        <f t="shared" ref="I3:I7" si="5">2*F3</f>
        <v>5000</v>
      </c>
      <c r="J3" s="25" t="str">
        <f>45*38*51/1000000*6*D3/G3</f>
        <v>#DIV/0!</v>
      </c>
      <c r="K3" s="25" t="str">
        <f>10*6*E3/G3</f>
        <v>#DIV/0!</v>
      </c>
      <c r="L3" s="24">
        <v>5000.0</v>
      </c>
      <c r="M3" s="25" t="str">
        <f t="shared" si="1"/>
        <v>#DIV/0!</v>
      </c>
      <c r="N3" s="25" t="str">
        <f t="shared" si="2"/>
        <v>#DIV/0!</v>
      </c>
      <c r="R3" s="25" t="str">
        <f t="shared" si="3"/>
        <v>#DIV/0!</v>
      </c>
      <c r="S3" s="25" t="str">
        <f t="shared" si="4"/>
        <v>#DIV/0!</v>
      </c>
    </row>
    <row r="4" ht="90.0" customHeight="1">
      <c r="B4" s="24"/>
      <c r="C4" s="24"/>
      <c r="D4" s="24">
        <v>6300000.0</v>
      </c>
      <c r="E4" s="24">
        <v>220000.0</v>
      </c>
      <c r="F4" s="24">
        <v>2500.0</v>
      </c>
      <c r="H4" s="24">
        <f>75*F4</f>
        <v>187500</v>
      </c>
      <c r="I4" s="25">
        <f t="shared" si="5"/>
        <v>5000</v>
      </c>
      <c r="J4" s="25" t="str">
        <f>56.5*47.5*41/1000000*8*D4/G4</f>
        <v>#DIV/0!</v>
      </c>
      <c r="K4" s="25" t="str">
        <f>11.5*8*E4/G4</f>
        <v>#DIV/0!</v>
      </c>
      <c r="L4" s="24">
        <v>5000.0</v>
      </c>
      <c r="M4" s="25" t="str">
        <f t="shared" si="1"/>
        <v>#DIV/0!</v>
      </c>
      <c r="N4" s="25" t="str">
        <f t="shared" si="2"/>
        <v>#DIV/0!</v>
      </c>
      <c r="R4" s="25" t="str">
        <f t="shared" si="3"/>
        <v>#DIV/0!</v>
      </c>
      <c r="S4" s="25" t="str">
        <f t="shared" si="4"/>
        <v>#DIV/0!</v>
      </c>
    </row>
    <row r="5" ht="90.0" customHeight="1">
      <c r="B5" s="24"/>
      <c r="C5" s="24"/>
      <c r="D5" s="24">
        <v>6300000.0</v>
      </c>
      <c r="E5" s="24">
        <v>220000.0</v>
      </c>
      <c r="F5" s="24">
        <v>2500.0</v>
      </c>
      <c r="H5" s="24">
        <f>113*F5</f>
        <v>282500</v>
      </c>
      <c r="I5" s="25">
        <f t="shared" si="5"/>
        <v>5000</v>
      </c>
      <c r="J5" s="25" t="str">
        <f>44*36*40/1000000*8*D5/G5</f>
        <v>#DIV/0!</v>
      </c>
      <c r="K5" s="25" t="str">
        <f>14*8*E5/G5</f>
        <v>#DIV/0!</v>
      </c>
      <c r="L5" s="24">
        <v>5000.0</v>
      </c>
      <c r="M5" s="25" t="str">
        <f t="shared" si="1"/>
        <v>#DIV/0!</v>
      </c>
      <c r="N5" s="25" t="str">
        <f t="shared" si="2"/>
        <v>#DIV/0!</v>
      </c>
      <c r="R5" s="25" t="str">
        <f t="shared" si="3"/>
        <v>#DIV/0!</v>
      </c>
      <c r="S5" s="25" t="str">
        <f t="shared" si="4"/>
        <v>#DIV/0!</v>
      </c>
    </row>
    <row r="6" ht="90.0" customHeight="1">
      <c r="B6" s="24"/>
      <c r="C6" s="24"/>
      <c r="D6" s="24">
        <v>100000.0</v>
      </c>
      <c r="F6" s="24">
        <v>2500.0</v>
      </c>
      <c r="H6" s="24">
        <f>350*F6</f>
        <v>875000</v>
      </c>
      <c r="I6" s="25">
        <f t="shared" si="5"/>
        <v>5000</v>
      </c>
      <c r="J6" s="25">
        <f t="shared" ref="J6:J7" si="6">30*36*23/4000*D6</f>
        <v>621000</v>
      </c>
      <c r="L6" s="24">
        <v>10000.0</v>
      </c>
      <c r="M6" s="25">
        <f t="shared" si="1"/>
        <v>1511000</v>
      </c>
      <c r="R6" s="25">
        <f t="shared" si="3"/>
        <v>1511000</v>
      </c>
    </row>
    <row r="7" ht="90.0" customHeight="1">
      <c r="B7" s="24"/>
      <c r="C7" s="24"/>
      <c r="D7" s="24">
        <v>100000.0</v>
      </c>
      <c r="F7" s="24">
        <v>2500.0</v>
      </c>
      <c r="H7" s="24">
        <f>300*F7</f>
        <v>750000</v>
      </c>
      <c r="I7" s="25">
        <f t="shared" si="5"/>
        <v>5000</v>
      </c>
      <c r="J7" s="25">
        <f t="shared" si="6"/>
        <v>621000</v>
      </c>
      <c r="L7" s="24">
        <v>10000.0</v>
      </c>
      <c r="M7" s="25">
        <f t="shared" si="1"/>
        <v>1386000</v>
      </c>
      <c r="R7" s="25">
        <f t="shared" si="3"/>
        <v>1386000</v>
      </c>
    </row>
    <row r="8" ht="90.0" customHeight="1">
      <c r="A8" s="25"/>
      <c r="B8" s="24"/>
      <c r="C8" s="24"/>
      <c r="D8" s="24">
        <v>6000000.0</v>
      </c>
      <c r="E8" s="24">
        <v>180000.0</v>
      </c>
      <c r="F8" s="24">
        <v>2500.0</v>
      </c>
      <c r="G8" s="24">
        <v>100.0</v>
      </c>
      <c r="H8" s="24">
        <f>7.5*F8</f>
        <v>18750</v>
      </c>
      <c r="I8" s="24">
        <f t="shared" ref="I8:I9" si="8">1*F8</f>
        <v>2500</v>
      </c>
      <c r="J8" s="25">
        <f t="shared" ref="J8:J9" si="9">600000/G8</f>
        <v>6000</v>
      </c>
      <c r="K8" s="25">
        <f>7*E8/G8</f>
        <v>12600</v>
      </c>
      <c r="L8" s="25">
        <f>7*15000/G8</f>
        <v>1050</v>
      </c>
      <c r="M8" s="25">
        <f t="shared" si="1"/>
        <v>28300</v>
      </c>
      <c r="N8" s="25">
        <f t="shared" ref="N8:N26" si="10">H8+I8+K8+L8</f>
        <v>34900</v>
      </c>
      <c r="O8" s="24">
        <f t="shared" ref="O8:P8" si="7">2*M8/100</f>
        <v>566</v>
      </c>
      <c r="P8" s="24">
        <f t="shared" si="7"/>
        <v>698</v>
      </c>
      <c r="Q8" s="24">
        <v>10000.0</v>
      </c>
      <c r="R8" s="25">
        <f t="shared" ref="R8:R27" si="12">M8+O8+Q8</f>
        <v>38866</v>
      </c>
      <c r="S8" s="25">
        <f t="shared" ref="S8:S11" si="13">N8+P8+Q8</f>
        <v>45598</v>
      </c>
      <c r="T8" s="24" t="s">
        <v>50</v>
      </c>
    </row>
    <row r="9" ht="90.0" customHeight="1">
      <c r="A9" s="25"/>
      <c r="B9" s="24"/>
      <c r="C9" s="24"/>
      <c r="D9" s="24">
        <v>6000000.0</v>
      </c>
      <c r="E9" s="24">
        <v>180000.0</v>
      </c>
      <c r="F9" s="24">
        <v>2500.0</v>
      </c>
      <c r="G9" s="24">
        <v>100.0</v>
      </c>
      <c r="H9" s="24">
        <f>9.5*F9</f>
        <v>23750</v>
      </c>
      <c r="I9" s="24">
        <f t="shared" si="8"/>
        <v>2500</v>
      </c>
      <c r="J9" s="25">
        <f t="shared" si="9"/>
        <v>6000</v>
      </c>
      <c r="K9" s="25">
        <f>12*E9/G9</f>
        <v>21600</v>
      </c>
      <c r="L9" s="25">
        <f>12*15000/G9</f>
        <v>1800</v>
      </c>
      <c r="M9" s="25">
        <f t="shared" si="1"/>
        <v>34050</v>
      </c>
      <c r="N9" s="25">
        <f t="shared" si="10"/>
        <v>49650</v>
      </c>
      <c r="O9" s="24">
        <f t="shared" ref="O9:P9" si="11">2*M9/100</f>
        <v>681</v>
      </c>
      <c r="P9" s="24">
        <f t="shared" si="11"/>
        <v>993</v>
      </c>
      <c r="Q9" s="24">
        <v>10000.0</v>
      </c>
      <c r="R9" s="25">
        <f t="shared" si="12"/>
        <v>44731</v>
      </c>
      <c r="S9" s="25">
        <f t="shared" si="13"/>
        <v>60643</v>
      </c>
      <c r="T9" s="24" t="s">
        <v>51</v>
      </c>
    </row>
    <row r="10" ht="90.0" customHeight="1">
      <c r="A10" s="25"/>
      <c r="B10" s="24"/>
      <c r="C10" s="24"/>
      <c r="D10" s="24">
        <v>6500000.0</v>
      </c>
      <c r="E10" s="24">
        <v>220000.0</v>
      </c>
      <c r="F10" s="24">
        <v>2500.0</v>
      </c>
      <c r="G10" s="24">
        <v>12.0</v>
      </c>
      <c r="H10" s="24">
        <f>100*F10</f>
        <v>250000</v>
      </c>
      <c r="I10" s="24">
        <f>5*F10</f>
        <v>12500</v>
      </c>
      <c r="J10" s="25">
        <f>50*35*30*2/1000000*D10/G10</f>
        <v>56875</v>
      </c>
      <c r="K10" s="25">
        <f>6*2*E10/G10</f>
        <v>220000</v>
      </c>
      <c r="L10" s="24">
        <v>6000.0</v>
      </c>
      <c r="M10" s="25">
        <f t="shared" si="1"/>
        <v>325375</v>
      </c>
      <c r="N10" s="25">
        <f t="shared" si="10"/>
        <v>488500</v>
      </c>
      <c r="O10" s="24">
        <f t="shared" ref="O10:P10" si="14">2*M10/100</f>
        <v>6507.5</v>
      </c>
      <c r="P10" s="24">
        <f t="shared" si="14"/>
        <v>9770</v>
      </c>
      <c r="Q10" s="24">
        <v>50000.0</v>
      </c>
      <c r="R10" s="25">
        <f t="shared" si="12"/>
        <v>381882.5</v>
      </c>
      <c r="S10" s="25">
        <f t="shared" si="13"/>
        <v>548270</v>
      </c>
    </row>
    <row r="11" ht="90.0" customHeight="1">
      <c r="A11" s="25"/>
      <c r="B11" s="24"/>
      <c r="C11" s="24"/>
      <c r="D11" s="24">
        <v>6500000.0</v>
      </c>
      <c r="E11" s="24">
        <v>220000.0</v>
      </c>
      <c r="F11" s="24">
        <v>2500.0</v>
      </c>
      <c r="G11" s="24">
        <v>40.0</v>
      </c>
      <c r="H11" s="24">
        <f>24.5*F11</f>
        <v>61250</v>
      </c>
      <c r="I11" s="24">
        <f>1.5*F11</f>
        <v>3750</v>
      </c>
      <c r="J11" s="25">
        <f>0.12*D11/G11</f>
        <v>19500</v>
      </c>
      <c r="K11" s="25">
        <f>20*E11/G11</f>
        <v>110000</v>
      </c>
      <c r="L11" s="24">
        <v>4000.0</v>
      </c>
      <c r="M11" s="25">
        <f t="shared" si="1"/>
        <v>88500</v>
      </c>
      <c r="N11" s="25">
        <f t="shared" si="10"/>
        <v>179000</v>
      </c>
      <c r="O11" s="24">
        <f t="shared" ref="O11:P11" si="15">2*M11/100</f>
        <v>1770</v>
      </c>
      <c r="P11" s="24">
        <f t="shared" si="15"/>
        <v>3580</v>
      </c>
      <c r="Q11" s="24">
        <v>10000.0</v>
      </c>
      <c r="R11" s="25">
        <f t="shared" si="12"/>
        <v>100270</v>
      </c>
      <c r="S11" s="25">
        <f t="shared" si="13"/>
        <v>192580</v>
      </c>
      <c r="T11" s="24" t="s">
        <v>52</v>
      </c>
    </row>
    <row r="12" ht="90.0" customHeight="1">
      <c r="A12" s="25"/>
      <c r="B12" s="24"/>
      <c r="C12" s="24"/>
      <c r="D12" s="24">
        <v>5000000.0</v>
      </c>
      <c r="F12" s="24">
        <v>2400.0</v>
      </c>
      <c r="G12" s="24">
        <v>200.0</v>
      </c>
      <c r="H12" s="25">
        <f>11.5*F12</f>
        <v>27600</v>
      </c>
      <c r="I12" s="25">
        <f t="shared" ref="I12:I26" si="16">0*G12</f>
        <v>0</v>
      </c>
      <c r="J12" s="25">
        <f t="shared" ref="J12:J13" si="17">62.5*50*59/1000000/60*D12</f>
        <v>15364.58333</v>
      </c>
      <c r="L12" s="24">
        <v>8000.0</v>
      </c>
      <c r="M12" s="25">
        <f t="shared" si="1"/>
        <v>50964.58333</v>
      </c>
      <c r="N12" s="25">
        <f t="shared" si="10"/>
        <v>35600</v>
      </c>
      <c r="Q12" s="24">
        <v>3000.0</v>
      </c>
      <c r="R12" s="25">
        <f t="shared" si="12"/>
        <v>53964.58333</v>
      </c>
      <c r="T12" s="24" t="s">
        <v>53</v>
      </c>
    </row>
    <row r="13" ht="90.0" customHeight="1">
      <c r="A13" s="25"/>
      <c r="B13" s="24"/>
      <c r="C13" s="24"/>
      <c r="D13" s="24">
        <v>5000000.0</v>
      </c>
      <c r="F13" s="24">
        <v>2400.0</v>
      </c>
      <c r="G13" s="24">
        <v>200.0</v>
      </c>
      <c r="H13" s="25">
        <f>15.8*F13</f>
        <v>37920</v>
      </c>
      <c r="I13" s="25">
        <f t="shared" si="16"/>
        <v>0</v>
      </c>
      <c r="J13" s="25">
        <f t="shared" si="17"/>
        <v>15364.58333</v>
      </c>
      <c r="L13" s="24">
        <v>8000.0</v>
      </c>
      <c r="M13" s="25">
        <f t="shared" si="1"/>
        <v>61284.58333</v>
      </c>
      <c r="N13" s="25">
        <f t="shared" si="10"/>
        <v>45920</v>
      </c>
      <c r="Q13" s="24">
        <v>3000.0</v>
      </c>
      <c r="R13" s="25">
        <f t="shared" si="12"/>
        <v>64284.58333</v>
      </c>
      <c r="T13" s="24" t="s">
        <v>54</v>
      </c>
    </row>
    <row r="14" ht="90.0" customHeight="1">
      <c r="A14" s="25"/>
      <c r="B14" s="24"/>
      <c r="C14" s="24"/>
      <c r="D14" s="24">
        <v>5000000.0</v>
      </c>
      <c r="F14" s="24">
        <v>2400.0</v>
      </c>
      <c r="G14" s="24">
        <v>200.0</v>
      </c>
      <c r="H14" s="25">
        <f>9.5*F14</f>
        <v>22800</v>
      </c>
      <c r="I14" s="25">
        <f t="shared" si="16"/>
        <v>0</v>
      </c>
      <c r="J14" s="25">
        <f t="shared" ref="J14:J15" si="18">56*37.5*47/1000000/72*D14</f>
        <v>6854.166667</v>
      </c>
      <c r="L14" s="24">
        <v>8000.0</v>
      </c>
      <c r="M14" s="25">
        <f t="shared" si="1"/>
        <v>37654.16667</v>
      </c>
      <c r="N14" s="25">
        <f t="shared" si="10"/>
        <v>30800</v>
      </c>
      <c r="Q14" s="24">
        <v>3000.0</v>
      </c>
      <c r="R14" s="25">
        <f t="shared" si="12"/>
        <v>40654.16667</v>
      </c>
      <c r="T14" s="24" t="s">
        <v>53</v>
      </c>
    </row>
    <row r="15" ht="90.0" customHeight="1">
      <c r="A15" s="25"/>
      <c r="B15" s="24"/>
      <c r="C15" s="24"/>
      <c r="D15" s="24">
        <v>5000000.0</v>
      </c>
      <c r="F15" s="24">
        <v>2400.0</v>
      </c>
      <c r="G15" s="24">
        <v>200.0</v>
      </c>
      <c r="H15" s="25">
        <f>11.5*F15</f>
        <v>27600</v>
      </c>
      <c r="I15" s="25">
        <f t="shared" si="16"/>
        <v>0</v>
      </c>
      <c r="J15" s="25">
        <f t="shared" si="18"/>
        <v>6854.166667</v>
      </c>
      <c r="L15" s="24">
        <v>8000.0</v>
      </c>
      <c r="M15" s="25">
        <f t="shared" si="1"/>
        <v>42454.16667</v>
      </c>
      <c r="N15" s="25">
        <f t="shared" si="10"/>
        <v>35600</v>
      </c>
      <c r="Q15" s="24">
        <v>3000.0</v>
      </c>
      <c r="R15" s="25">
        <f t="shared" si="12"/>
        <v>45454.16667</v>
      </c>
      <c r="T15" s="24" t="s">
        <v>54</v>
      </c>
    </row>
    <row r="16" ht="90.0" customHeight="1">
      <c r="A16" s="25"/>
      <c r="B16" s="24"/>
      <c r="C16" s="24"/>
      <c r="D16" s="24">
        <v>5000000.0</v>
      </c>
      <c r="F16" s="24">
        <v>2400.0</v>
      </c>
      <c r="G16" s="24">
        <v>200.0</v>
      </c>
      <c r="H16" s="25">
        <f>9.5*F16</f>
        <v>22800</v>
      </c>
      <c r="I16" s="25">
        <f t="shared" si="16"/>
        <v>0</v>
      </c>
      <c r="J16" s="25">
        <f>56*37.5*42/1000000/72*D16</f>
        <v>6125</v>
      </c>
      <c r="L16" s="24">
        <v>8000.0</v>
      </c>
      <c r="M16" s="25">
        <f t="shared" si="1"/>
        <v>36925</v>
      </c>
      <c r="N16" s="25">
        <f t="shared" si="10"/>
        <v>30800</v>
      </c>
      <c r="Q16" s="24">
        <v>3000.0</v>
      </c>
      <c r="R16" s="25">
        <f t="shared" si="12"/>
        <v>39925</v>
      </c>
      <c r="T16" s="24" t="s">
        <v>53</v>
      </c>
    </row>
    <row r="17" ht="90.0" customHeight="1">
      <c r="A17" s="25"/>
      <c r="B17" s="24"/>
      <c r="C17" s="24"/>
      <c r="D17" s="24">
        <v>5000000.0</v>
      </c>
      <c r="F17" s="24">
        <v>2400.0</v>
      </c>
      <c r="G17" s="24">
        <v>200.0</v>
      </c>
      <c r="H17" s="25">
        <f>12.5*F17</f>
        <v>30000</v>
      </c>
      <c r="I17" s="25">
        <f t="shared" si="16"/>
        <v>0</v>
      </c>
      <c r="J17" s="25">
        <f t="shared" ref="J17:J18" si="19">55*44*43/1000000/40*D17</f>
        <v>13007.5</v>
      </c>
      <c r="L17" s="24">
        <v>8000.0</v>
      </c>
      <c r="M17" s="25">
        <f t="shared" si="1"/>
        <v>51007.5</v>
      </c>
      <c r="N17" s="25">
        <f t="shared" si="10"/>
        <v>38000</v>
      </c>
      <c r="Q17" s="24">
        <v>3000.0</v>
      </c>
      <c r="R17" s="25">
        <f t="shared" si="12"/>
        <v>54007.5</v>
      </c>
      <c r="T17" s="24" t="s">
        <v>53</v>
      </c>
    </row>
    <row r="18" ht="90.0" customHeight="1">
      <c r="A18" s="25"/>
      <c r="B18" s="24"/>
      <c r="C18" s="24"/>
      <c r="D18" s="24">
        <v>5000000.0</v>
      </c>
      <c r="F18" s="24">
        <v>2400.0</v>
      </c>
      <c r="G18" s="24">
        <v>200.0</v>
      </c>
      <c r="H18" s="25">
        <f>19.5*F18</f>
        <v>46800</v>
      </c>
      <c r="I18" s="25">
        <f t="shared" si="16"/>
        <v>0</v>
      </c>
      <c r="J18" s="25">
        <f t="shared" si="19"/>
        <v>13007.5</v>
      </c>
      <c r="L18" s="24">
        <v>8000.0</v>
      </c>
      <c r="M18" s="25">
        <f t="shared" si="1"/>
        <v>67807.5</v>
      </c>
      <c r="N18" s="25">
        <f t="shared" si="10"/>
        <v>54800</v>
      </c>
      <c r="Q18" s="24">
        <v>3000.0</v>
      </c>
      <c r="R18" s="25">
        <f t="shared" si="12"/>
        <v>70807.5</v>
      </c>
      <c r="T18" s="24" t="s">
        <v>54</v>
      </c>
    </row>
    <row r="19" ht="90.0" customHeight="1">
      <c r="A19" s="25"/>
      <c r="B19" s="24"/>
      <c r="C19" s="24"/>
      <c r="D19" s="24">
        <v>5000000.0</v>
      </c>
      <c r="F19" s="24">
        <v>2400.0</v>
      </c>
      <c r="G19" s="24">
        <v>200.0</v>
      </c>
      <c r="H19" s="25">
        <f>12.5*F19</f>
        <v>30000</v>
      </c>
      <c r="I19" s="25">
        <f t="shared" si="16"/>
        <v>0</v>
      </c>
      <c r="J19" s="25">
        <f t="shared" ref="J19:J20" si="20">48*38*52/1000000/60*D19</f>
        <v>7904</v>
      </c>
      <c r="L19" s="24">
        <v>8000.0</v>
      </c>
      <c r="M19" s="25">
        <f t="shared" si="1"/>
        <v>45904</v>
      </c>
      <c r="N19" s="25">
        <f t="shared" si="10"/>
        <v>38000</v>
      </c>
      <c r="Q19" s="24">
        <v>3000.0</v>
      </c>
      <c r="R19" s="25">
        <f t="shared" si="12"/>
        <v>48904</v>
      </c>
      <c r="T19" s="24" t="s">
        <v>53</v>
      </c>
    </row>
    <row r="20" ht="90.0" customHeight="1">
      <c r="A20" s="25"/>
      <c r="B20" s="24"/>
      <c r="C20" s="24"/>
      <c r="D20" s="24">
        <v>5000000.0</v>
      </c>
      <c r="F20" s="24">
        <v>2400.0</v>
      </c>
      <c r="G20" s="24">
        <v>200.0</v>
      </c>
      <c r="H20" s="25">
        <f>20*F20</f>
        <v>48000</v>
      </c>
      <c r="I20" s="25">
        <f t="shared" si="16"/>
        <v>0</v>
      </c>
      <c r="J20" s="25">
        <f t="shared" si="20"/>
        <v>7904</v>
      </c>
      <c r="L20" s="24">
        <v>8000.0</v>
      </c>
      <c r="M20" s="25">
        <f t="shared" si="1"/>
        <v>63904</v>
      </c>
      <c r="N20" s="25">
        <f t="shared" si="10"/>
        <v>56000</v>
      </c>
      <c r="Q20" s="24">
        <v>3000.0</v>
      </c>
      <c r="R20" s="25">
        <f t="shared" si="12"/>
        <v>66904</v>
      </c>
      <c r="T20" s="24" t="s">
        <v>54</v>
      </c>
    </row>
    <row r="21" ht="90.0" customHeight="1">
      <c r="A21" s="25"/>
      <c r="B21" s="24"/>
      <c r="C21" s="24"/>
      <c r="D21" s="24">
        <v>5000000.0</v>
      </c>
      <c r="F21" s="24">
        <v>2400.0</v>
      </c>
      <c r="G21" s="24">
        <v>200.0</v>
      </c>
      <c r="H21" s="25">
        <f>14.8*F21</f>
        <v>35520</v>
      </c>
      <c r="I21" s="25">
        <f t="shared" si="16"/>
        <v>0</v>
      </c>
      <c r="J21" s="25">
        <f t="shared" ref="J21:J22" si="21">49.5*39.5*47.5/1000000/60*D21</f>
        <v>7739.53125</v>
      </c>
      <c r="L21" s="24">
        <v>8000.0</v>
      </c>
      <c r="M21" s="25">
        <f t="shared" si="1"/>
        <v>51259.53125</v>
      </c>
      <c r="N21" s="25">
        <f t="shared" si="10"/>
        <v>43520</v>
      </c>
      <c r="Q21" s="24">
        <v>3000.0</v>
      </c>
      <c r="R21" s="25">
        <f t="shared" si="12"/>
        <v>54259.53125</v>
      </c>
      <c r="T21" s="24" t="s">
        <v>53</v>
      </c>
    </row>
    <row r="22" ht="90.0" customHeight="1">
      <c r="A22" s="25"/>
      <c r="B22" s="24"/>
      <c r="C22" s="24"/>
      <c r="D22" s="24">
        <v>5000000.0</v>
      </c>
      <c r="F22" s="24">
        <v>2400.0</v>
      </c>
      <c r="G22" s="24">
        <v>200.0</v>
      </c>
      <c r="H22" s="25">
        <f>22*F22</f>
        <v>52800</v>
      </c>
      <c r="I22" s="25">
        <f t="shared" si="16"/>
        <v>0</v>
      </c>
      <c r="J22" s="25">
        <f t="shared" si="21"/>
        <v>7739.53125</v>
      </c>
      <c r="L22" s="24">
        <v>8000.0</v>
      </c>
      <c r="M22" s="25">
        <f t="shared" si="1"/>
        <v>68539.53125</v>
      </c>
      <c r="N22" s="25">
        <f t="shared" si="10"/>
        <v>60800</v>
      </c>
      <c r="Q22" s="24">
        <v>3000.0</v>
      </c>
      <c r="R22" s="25">
        <f t="shared" si="12"/>
        <v>71539.53125</v>
      </c>
      <c r="T22" s="24" t="s">
        <v>54</v>
      </c>
    </row>
    <row r="23" ht="90.0" customHeight="1">
      <c r="A23" s="25"/>
      <c r="B23" s="24"/>
      <c r="C23" s="24"/>
      <c r="D23" s="24">
        <v>5000000.0</v>
      </c>
      <c r="F23" s="24">
        <v>2400.0</v>
      </c>
      <c r="G23" s="24">
        <v>200.0</v>
      </c>
      <c r="H23" s="25">
        <f>8.5*F23</f>
        <v>20400</v>
      </c>
      <c r="I23" s="25">
        <f t="shared" si="16"/>
        <v>0</v>
      </c>
      <c r="J23" s="25">
        <f>47*39*44/1000000/60*D23</f>
        <v>6721</v>
      </c>
      <c r="L23" s="24">
        <v>8000.0</v>
      </c>
      <c r="M23" s="25">
        <f t="shared" si="1"/>
        <v>35121</v>
      </c>
      <c r="N23" s="25">
        <f t="shared" si="10"/>
        <v>28400</v>
      </c>
      <c r="Q23" s="24">
        <v>3000.0</v>
      </c>
      <c r="R23" s="25">
        <f t="shared" si="12"/>
        <v>38121</v>
      </c>
      <c r="T23" s="24" t="s">
        <v>53</v>
      </c>
    </row>
    <row r="24" ht="90.0" customHeight="1">
      <c r="A24" s="25"/>
      <c r="B24" s="24"/>
      <c r="C24" s="24"/>
      <c r="D24" s="24">
        <v>5000000.0</v>
      </c>
      <c r="F24" s="24">
        <v>2400.0</v>
      </c>
      <c r="G24" s="24">
        <v>200.0</v>
      </c>
      <c r="H24" s="25">
        <f>9.8*F24</f>
        <v>23520</v>
      </c>
      <c r="I24" s="25">
        <f t="shared" si="16"/>
        <v>0</v>
      </c>
      <c r="J24" s="25">
        <f>12*12*14/1000000*D24</f>
        <v>10080</v>
      </c>
      <c r="L24" s="24">
        <v>8000.0</v>
      </c>
      <c r="M24" s="25">
        <f t="shared" si="1"/>
        <v>41600</v>
      </c>
      <c r="N24" s="25">
        <f t="shared" si="10"/>
        <v>31520</v>
      </c>
      <c r="Q24" s="24">
        <v>3000.0</v>
      </c>
      <c r="R24" s="25">
        <f t="shared" si="12"/>
        <v>44600</v>
      </c>
      <c r="T24" s="24" t="s">
        <v>53</v>
      </c>
    </row>
    <row r="25" ht="90.0" customHeight="1">
      <c r="A25" s="25"/>
      <c r="B25" s="24"/>
      <c r="C25" s="24"/>
      <c r="D25" s="24">
        <v>5000000.0</v>
      </c>
      <c r="F25" s="24">
        <v>2400.0</v>
      </c>
      <c r="G25" s="24">
        <v>200.0</v>
      </c>
      <c r="H25" s="25">
        <f>15.8*F25</f>
        <v>37920</v>
      </c>
      <c r="I25" s="25">
        <f t="shared" si="16"/>
        <v>0</v>
      </c>
      <c r="J25" s="25">
        <f t="shared" ref="J25:J26" si="22">54.5*37*65/1000000/96*D25</f>
        <v>6826.692708</v>
      </c>
      <c r="L25" s="24">
        <v>8000.0</v>
      </c>
      <c r="M25" s="25">
        <f t="shared" si="1"/>
        <v>52746.69271</v>
      </c>
      <c r="N25" s="25">
        <f t="shared" si="10"/>
        <v>45920</v>
      </c>
      <c r="Q25" s="24">
        <v>3000.0</v>
      </c>
      <c r="R25" s="25">
        <f t="shared" si="12"/>
        <v>55746.69271</v>
      </c>
      <c r="T25" s="24" t="s">
        <v>53</v>
      </c>
    </row>
    <row r="26" ht="90.0" customHeight="1">
      <c r="A26" s="25"/>
      <c r="B26" s="24"/>
      <c r="C26" s="24"/>
      <c r="D26" s="24">
        <v>5000000.0</v>
      </c>
      <c r="F26" s="24">
        <v>2400.0</v>
      </c>
      <c r="G26" s="24">
        <v>200.0</v>
      </c>
      <c r="H26" s="25">
        <f>17.8*F26</f>
        <v>42720</v>
      </c>
      <c r="I26" s="25">
        <f t="shared" si="16"/>
        <v>0</v>
      </c>
      <c r="J26" s="25">
        <f t="shared" si="22"/>
        <v>6826.692708</v>
      </c>
      <c r="L26" s="24">
        <v>8000.0</v>
      </c>
      <c r="M26" s="25">
        <f t="shared" si="1"/>
        <v>57546.69271</v>
      </c>
      <c r="N26" s="25">
        <f t="shared" si="10"/>
        <v>50720</v>
      </c>
      <c r="Q26" s="24">
        <v>3000.0</v>
      </c>
      <c r="R26" s="25">
        <f t="shared" si="12"/>
        <v>60546.69271</v>
      </c>
      <c r="T26" s="24" t="s">
        <v>54</v>
      </c>
    </row>
    <row r="27" ht="90.0" customHeight="1">
      <c r="A27" s="25"/>
      <c r="B27" s="24"/>
      <c r="C27" s="24"/>
      <c r="D27" s="24">
        <v>5500000.0</v>
      </c>
      <c r="F27" s="24">
        <v>2500.0</v>
      </c>
      <c r="G27" s="24">
        <v>300.0</v>
      </c>
      <c r="H27" s="25">
        <f>4.25*F27</f>
        <v>10625</v>
      </c>
      <c r="I27" s="25">
        <f>268*F27/G27</f>
        <v>2233.333333</v>
      </c>
      <c r="J27" s="25">
        <f>100*120*50/1000000*D27/G27</f>
        <v>11000</v>
      </c>
      <c r="L27" s="24">
        <v>4000.0</v>
      </c>
      <c r="M27" s="25">
        <f t="shared" si="1"/>
        <v>27858.33333</v>
      </c>
      <c r="Q27" s="24">
        <v>3000.0</v>
      </c>
      <c r="R27" s="25">
        <f t="shared" si="12"/>
        <v>30858.33333</v>
      </c>
      <c r="T27" s="24" t="s">
        <v>55</v>
      </c>
    </row>
    <row r="28" ht="90.0" customHeight="1">
      <c r="A28" s="25"/>
      <c r="G28" s="24">
        <v>50.0</v>
      </c>
      <c r="T28" s="24" t="s">
        <v>56</v>
      </c>
    </row>
    <row r="29" ht="90.0" customHeight="1">
      <c r="A29" s="25"/>
      <c r="B29" s="24"/>
      <c r="C29" s="24"/>
      <c r="D29" s="24">
        <v>1.0E7</v>
      </c>
      <c r="E29" s="24">
        <v>190000.0</v>
      </c>
      <c r="F29" s="24">
        <v>2500.0</v>
      </c>
      <c r="G29" s="24">
        <v>100.0</v>
      </c>
      <c r="H29" s="25">
        <f>8.5*F29</f>
        <v>21250</v>
      </c>
      <c r="I29" s="25">
        <f t="shared" ref="I29:I30" si="23">2*F29</f>
        <v>5000</v>
      </c>
      <c r="J29" s="25">
        <f>70*60*50/1000000*D29/G29</f>
        <v>21000</v>
      </c>
      <c r="K29" s="25">
        <f>25*E29/G29</f>
        <v>47500</v>
      </c>
      <c r="L29" s="24">
        <v>4000.0</v>
      </c>
      <c r="M29" s="25">
        <f t="shared" ref="M29:M44" si="24">H29+I29+J29+L29</f>
        <v>51250</v>
      </c>
      <c r="N29" s="25">
        <f t="shared" ref="N29:N48" si="25">H29+I29+K29+L29</f>
        <v>77750</v>
      </c>
      <c r="Q29" s="24">
        <v>3000.0</v>
      </c>
      <c r="R29" s="25">
        <f t="shared" ref="R29:R44" si="26">M29+O29+Q29</f>
        <v>54250</v>
      </c>
      <c r="S29" s="25">
        <f t="shared" ref="S29:S48" si="27">N29+P29+Q29</f>
        <v>80750</v>
      </c>
      <c r="T29" s="24" t="s">
        <v>57</v>
      </c>
    </row>
    <row r="30" ht="90.0" customHeight="1">
      <c r="A30" s="25"/>
      <c r="B30" s="24"/>
      <c r="C30" s="24"/>
      <c r="D30" s="24">
        <v>1.0E7</v>
      </c>
      <c r="E30" s="24">
        <v>190000.0</v>
      </c>
      <c r="F30" s="24">
        <v>2500.0</v>
      </c>
      <c r="G30" s="24">
        <v>100.0</v>
      </c>
      <c r="H30" s="25">
        <f>5.5*F30</f>
        <v>13750</v>
      </c>
      <c r="I30" s="25">
        <f t="shared" si="23"/>
        <v>5000</v>
      </c>
      <c r="J30" s="25">
        <f>60*50*40/1000000*D30/G30</f>
        <v>12000</v>
      </c>
      <c r="K30" s="25">
        <f>23*E30/G30</f>
        <v>43700</v>
      </c>
      <c r="L30" s="24">
        <v>4000.0</v>
      </c>
      <c r="M30" s="25">
        <f t="shared" si="24"/>
        <v>34750</v>
      </c>
      <c r="N30" s="25">
        <f t="shared" si="25"/>
        <v>66450</v>
      </c>
      <c r="Q30" s="24">
        <v>3000.0</v>
      </c>
      <c r="R30" s="25">
        <f t="shared" si="26"/>
        <v>37750</v>
      </c>
      <c r="S30" s="25">
        <f t="shared" si="27"/>
        <v>69450</v>
      </c>
      <c r="T30" s="24" t="s">
        <v>58</v>
      </c>
    </row>
    <row r="31" ht="90.0" customHeight="1">
      <c r="A31" s="25"/>
      <c r="B31" s="24"/>
      <c r="C31" s="24"/>
      <c r="D31" s="24">
        <v>5000000.0</v>
      </c>
      <c r="E31" s="24">
        <v>190000.0</v>
      </c>
      <c r="F31" s="24">
        <v>2500.0</v>
      </c>
      <c r="G31" s="24">
        <v>200.0</v>
      </c>
      <c r="H31" s="25">
        <f>6*F31</f>
        <v>15000</v>
      </c>
      <c r="I31" s="25">
        <f t="shared" ref="I31:I32" si="29">60*F31/G31</f>
        <v>750</v>
      </c>
      <c r="J31" s="25">
        <f t="shared" ref="J31:J32" si="30">40*35*48/1000000*D31/G31</f>
        <v>1680</v>
      </c>
      <c r="K31" s="25">
        <f t="shared" ref="K31:K32" si="31">14*E31/G31</f>
        <v>13300</v>
      </c>
      <c r="L31" s="24">
        <v>5000.0</v>
      </c>
      <c r="M31" s="25">
        <f t="shared" si="24"/>
        <v>22430</v>
      </c>
      <c r="N31" s="25">
        <f t="shared" si="25"/>
        <v>34050</v>
      </c>
      <c r="O31" s="24">
        <f t="shared" ref="O31:P31" si="28">2*M31/100</f>
        <v>448.6</v>
      </c>
      <c r="P31" s="24">
        <f t="shared" si="28"/>
        <v>681</v>
      </c>
      <c r="Q31" s="24">
        <v>5000.0</v>
      </c>
      <c r="R31" s="25">
        <f t="shared" si="26"/>
        <v>27878.6</v>
      </c>
      <c r="S31" s="25">
        <f t="shared" si="27"/>
        <v>39731</v>
      </c>
      <c r="T31" s="24" t="s">
        <v>59</v>
      </c>
    </row>
    <row r="32" ht="90.0" customHeight="1">
      <c r="A32" s="25"/>
      <c r="B32" s="24"/>
      <c r="C32" s="24"/>
      <c r="D32" s="24">
        <v>5000000.0</v>
      </c>
      <c r="E32" s="24">
        <v>190000.0</v>
      </c>
      <c r="F32" s="24">
        <v>2500.0</v>
      </c>
      <c r="G32" s="24">
        <v>200.0</v>
      </c>
      <c r="H32" s="25">
        <f>5.2*F32</f>
        <v>13000</v>
      </c>
      <c r="I32" s="25">
        <f t="shared" si="29"/>
        <v>750</v>
      </c>
      <c r="J32" s="25">
        <f t="shared" si="30"/>
        <v>1680</v>
      </c>
      <c r="K32" s="25">
        <f t="shared" si="31"/>
        <v>13300</v>
      </c>
      <c r="L32" s="24">
        <v>5000.0</v>
      </c>
      <c r="M32" s="25">
        <f t="shared" si="24"/>
        <v>20430</v>
      </c>
      <c r="N32" s="25">
        <f t="shared" si="25"/>
        <v>32050</v>
      </c>
      <c r="O32" s="24">
        <f t="shared" ref="O32:P32" si="32">2*M32/100</f>
        <v>408.6</v>
      </c>
      <c r="P32" s="24">
        <f t="shared" si="32"/>
        <v>641</v>
      </c>
      <c r="Q32" s="24">
        <v>5000.0</v>
      </c>
      <c r="R32" s="25">
        <f t="shared" si="26"/>
        <v>25838.6</v>
      </c>
      <c r="S32" s="25">
        <f t="shared" si="27"/>
        <v>37691</v>
      </c>
      <c r="T32" s="24" t="s">
        <v>60</v>
      </c>
    </row>
    <row r="33" ht="90.0" customHeight="1">
      <c r="A33" s="25"/>
      <c r="B33" s="24"/>
      <c r="C33" s="24"/>
      <c r="D33" s="24">
        <v>5000000.0</v>
      </c>
      <c r="E33" s="24">
        <v>190000.0</v>
      </c>
      <c r="F33" s="24">
        <v>2500.0</v>
      </c>
      <c r="G33" s="24">
        <v>200.0</v>
      </c>
      <c r="H33" s="25">
        <f>4.31*F33</f>
        <v>10775</v>
      </c>
      <c r="I33" s="25">
        <f t="shared" ref="I33:I34" si="34">48*F33/G33</f>
        <v>600</v>
      </c>
      <c r="J33" s="25">
        <f t="shared" ref="J33:J34" si="35">40*35*34/1000000*D33/G33</f>
        <v>1190</v>
      </c>
      <c r="K33" s="25">
        <f t="shared" ref="K33:K34" si="36">8*E33/G33</f>
        <v>7600</v>
      </c>
      <c r="L33" s="24">
        <v>5000.0</v>
      </c>
      <c r="M33" s="25">
        <f t="shared" si="24"/>
        <v>17565</v>
      </c>
      <c r="N33" s="25">
        <f t="shared" si="25"/>
        <v>23975</v>
      </c>
      <c r="O33" s="24">
        <f t="shared" ref="O33:P33" si="33">2*M33/100</f>
        <v>351.3</v>
      </c>
      <c r="P33" s="24">
        <f t="shared" si="33"/>
        <v>479.5</v>
      </c>
      <c r="Q33" s="24">
        <v>5000.0</v>
      </c>
      <c r="R33" s="25">
        <f t="shared" si="26"/>
        <v>22916.3</v>
      </c>
      <c r="S33" s="25">
        <f t="shared" si="27"/>
        <v>29454.5</v>
      </c>
      <c r="T33" s="24" t="s">
        <v>61</v>
      </c>
    </row>
    <row r="34" ht="90.0" customHeight="1">
      <c r="A34" s="25"/>
      <c r="B34" s="24"/>
      <c r="C34" s="24"/>
      <c r="D34" s="24">
        <v>5000000.0</v>
      </c>
      <c r="E34" s="24">
        <v>190000.0</v>
      </c>
      <c r="F34" s="24">
        <v>2500.0</v>
      </c>
      <c r="G34" s="24">
        <v>200.0</v>
      </c>
      <c r="H34" s="25">
        <f>3.51*F34</f>
        <v>8775</v>
      </c>
      <c r="I34" s="25">
        <f t="shared" si="34"/>
        <v>600</v>
      </c>
      <c r="J34" s="25">
        <f t="shared" si="35"/>
        <v>1190</v>
      </c>
      <c r="K34" s="25">
        <f t="shared" si="36"/>
        <v>7600</v>
      </c>
      <c r="L34" s="24">
        <v>5000.0</v>
      </c>
      <c r="M34" s="25">
        <f t="shared" si="24"/>
        <v>15565</v>
      </c>
      <c r="N34" s="25">
        <f t="shared" si="25"/>
        <v>21975</v>
      </c>
      <c r="O34" s="24">
        <f t="shared" ref="O34:P34" si="37">2*M34/100</f>
        <v>311.3</v>
      </c>
      <c r="P34" s="24">
        <f t="shared" si="37"/>
        <v>439.5</v>
      </c>
      <c r="Q34" s="24">
        <v>5000.0</v>
      </c>
      <c r="R34" s="25">
        <f t="shared" si="26"/>
        <v>20876.3</v>
      </c>
      <c r="S34" s="25">
        <f t="shared" si="27"/>
        <v>27414.5</v>
      </c>
      <c r="T34" s="24" t="s">
        <v>62</v>
      </c>
    </row>
    <row r="35" ht="90.0" customHeight="1">
      <c r="A35" s="25"/>
      <c r="B35" s="24"/>
      <c r="C35" s="24"/>
      <c r="D35" s="24">
        <v>5000000.0</v>
      </c>
      <c r="E35" s="24">
        <v>190000.0</v>
      </c>
      <c r="F35" s="24">
        <v>2500.0</v>
      </c>
      <c r="G35" s="24">
        <v>500.0</v>
      </c>
      <c r="H35" s="25">
        <f>5.8*F35</f>
        <v>14500</v>
      </c>
      <c r="I35" s="25">
        <f t="shared" ref="I35:I36" si="39">117*F35/G35</f>
        <v>585</v>
      </c>
      <c r="J35" s="25">
        <f t="shared" ref="J35:J36" si="40">40*35*48/1000000*D35/G35*2.5</f>
        <v>1680</v>
      </c>
      <c r="K35" s="25">
        <f t="shared" ref="K35:K36" si="41">14*E35/G35*2.5</f>
        <v>13300</v>
      </c>
      <c r="L35" s="24">
        <v>5000.0</v>
      </c>
      <c r="M35" s="25">
        <f t="shared" si="24"/>
        <v>21765</v>
      </c>
      <c r="N35" s="25">
        <f t="shared" si="25"/>
        <v>33385</v>
      </c>
      <c r="O35" s="24">
        <f t="shared" ref="O35:P35" si="38">2*M35/100</f>
        <v>435.3</v>
      </c>
      <c r="P35" s="24">
        <f t="shared" si="38"/>
        <v>667.7</v>
      </c>
      <c r="Q35" s="24">
        <v>5000.0</v>
      </c>
      <c r="R35" s="25">
        <f t="shared" si="26"/>
        <v>27200.3</v>
      </c>
      <c r="S35" s="25">
        <f t="shared" si="27"/>
        <v>39052.7</v>
      </c>
      <c r="T35" s="24" t="s">
        <v>59</v>
      </c>
    </row>
    <row r="36" ht="90.0" customHeight="1">
      <c r="A36" s="25"/>
      <c r="B36" s="24"/>
      <c r="C36" s="24"/>
      <c r="D36" s="24">
        <v>5000000.0</v>
      </c>
      <c r="E36" s="24">
        <v>190000.0</v>
      </c>
      <c r="F36" s="24">
        <v>2500.0</v>
      </c>
      <c r="G36" s="24">
        <v>500.0</v>
      </c>
      <c r="H36" s="25">
        <f>5*F36</f>
        <v>12500</v>
      </c>
      <c r="I36" s="25">
        <f t="shared" si="39"/>
        <v>585</v>
      </c>
      <c r="J36" s="25">
        <f t="shared" si="40"/>
        <v>1680</v>
      </c>
      <c r="K36" s="25">
        <f t="shared" si="41"/>
        <v>13300</v>
      </c>
      <c r="L36" s="24">
        <v>5000.0</v>
      </c>
      <c r="M36" s="25">
        <f t="shared" si="24"/>
        <v>19765</v>
      </c>
      <c r="N36" s="25">
        <f t="shared" si="25"/>
        <v>31385</v>
      </c>
      <c r="O36" s="24">
        <f t="shared" ref="O36:P36" si="42">2*M36/100</f>
        <v>395.3</v>
      </c>
      <c r="P36" s="24">
        <f t="shared" si="42"/>
        <v>627.7</v>
      </c>
      <c r="Q36" s="24">
        <v>5000.0</v>
      </c>
      <c r="R36" s="25">
        <f t="shared" si="26"/>
        <v>25160.3</v>
      </c>
      <c r="S36" s="25">
        <f t="shared" si="27"/>
        <v>37012.7</v>
      </c>
      <c r="T36" s="24" t="s">
        <v>60</v>
      </c>
    </row>
    <row r="37" ht="90.0" customHeight="1">
      <c r="A37" s="25"/>
      <c r="B37" s="24"/>
      <c r="C37" s="24"/>
      <c r="D37" s="24">
        <v>5000000.0</v>
      </c>
      <c r="E37" s="24">
        <v>190000.0</v>
      </c>
      <c r="F37" s="24">
        <v>2500.0</v>
      </c>
      <c r="G37" s="24">
        <v>500.0</v>
      </c>
      <c r="H37" s="25">
        <f>4.1*F37</f>
        <v>10250</v>
      </c>
      <c r="I37" s="25">
        <f t="shared" ref="I37:I38" si="44">100*F37/G37</f>
        <v>500</v>
      </c>
      <c r="J37" s="25">
        <f t="shared" ref="J37:J38" si="45">40*35*34/1000000*D37/G37*2.5</f>
        <v>1190</v>
      </c>
      <c r="K37" s="25">
        <f t="shared" ref="K37:K38" si="46">8*E37/G37*2.5</f>
        <v>7600</v>
      </c>
      <c r="L37" s="24">
        <v>5000.0</v>
      </c>
      <c r="M37" s="25">
        <f t="shared" si="24"/>
        <v>16940</v>
      </c>
      <c r="N37" s="25">
        <f t="shared" si="25"/>
        <v>23350</v>
      </c>
      <c r="O37" s="24">
        <f t="shared" ref="O37:P37" si="43">2*M37/100</f>
        <v>338.8</v>
      </c>
      <c r="P37" s="24">
        <f t="shared" si="43"/>
        <v>467</v>
      </c>
      <c r="Q37" s="24">
        <v>5000.0</v>
      </c>
      <c r="R37" s="25">
        <f t="shared" si="26"/>
        <v>22278.8</v>
      </c>
      <c r="S37" s="25">
        <f t="shared" si="27"/>
        <v>28817</v>
      </c>
      <c r="T37" s="24" t="s">
        <v>61</v>
      </c>
    </row>
    <row r="38" ht="90.0" customHeight="1">
      <c r="A38" s="25"/>
      <c r="B38" s="24"/>
      <c r="C38" s="24"/>
      <c r="D38" s="24">
        <v>5000000.0</v>
      </c>
      <c r="E38" s="24">
        <v>190000.0</v>
      </c>
      <c r="F38" s="24">
        <v>2500.0</v>
      </c>
      <c r="G38" s="24">
        <v>500.0</v>
      </c>
      <c r="H38" s="25">
        <f>3.3*F38</f>
        <v>8250</v>
      </c>
      <c r="I38" s="25">
        <f t="shared" si="44"/>
        <v>500</v>
      </c>
      <c r="J38" s="25">
        <f t="shared" si="45"/>
        <v>1190</v>
      </c>
      <c r="K38" s="25">
        <f t="shared" si="46"/>
        <v>7600</v>
      </c>
      <c r="L38" s="24">
        <v>5000.0</v>
      </c>
      <c r="M38" s="25">
        <f t="shared" si="24"/>
        <v>14940</v>
      </c>
      <c r="N38" s="25">
        <f t="shared" si="25"/>
        <v>21350</v>
      </c>
      <c r="O38" s="24">
        <f t="shared" ref="O38:P38" si="47">2*M38/100</f>
        <v>298.8</v>
      </c>
      <c r="P38" s="24">
        <f t="shared" si="47"/>
        <v>427</v>
      </c>
      <c r="Q38" s="24">
        <v>5000.0</v>
      </c>
      <c r="R38" s="25">
        <f t="shared" si="26"/>
        <v>20238.8</v>
      </c>
      <c r="S38" s="25">
        <f t="shared" si="27"/>
        <v>26777</v>
      </c>
      <c r="T38" s="24" t="s">
        <v>62</v>
      </c>
    </row>
    <row r="39" ht="90.0" customHeight="1">
      <c r="A39" s="25"/>
      <c r="B39" s="24" t="s">
        <v>63</v>
      </c>
      <c r="C39" s="24" t="s">
        <v>64</v>
      </c>
      <c r="D39" s="24">
        <v>9000000.0</v>
      </c>
      <c r="E39" s="24">
        <v>230000.0</v>
      </c>
      <c r="F39" s="24">
        <v>2500.0</v>
      </c>
      <c r="G39" s="24">
        <v>500.0</v>
      </c>
      <c r="H39" s="25">
        <f>16*F39</f>
        <v>40000</v>
      </c>
      <c r="I39" s="24">
        <v>10000.0</v>
      </c>
      <c r="J39" s="25">
        <f>35*35*25/1000000*D39*5/G39</f>
        <v>2756.25</v>
      </c>
      <c r="K39" s="25">
        <f>7*E39/G39*5</f>
        <v>16100</v>
      </c>
      <c r="L39" s="24">
        <v>5000.0</v>
      </c>
      <c r="M39" s="25">
        <f t="shared" si="24"/>
        <v>57756.25</v>
      </c>
      <c r="N39" s="25">
        <f t="shared" si="25"/>
        <v>71100</v>
      </c>
      <c r="O39" s="24">
        <f t="shared" ref="O39:P39" si="48">2*M39/100</f>
        <v>1155.125</v>
      </c>
      <c r="P39" s="24">
        <f t="shared" si="48"/>
        <v>1422</v>
      </c>
      <c r="Q39" s="24">
        <v>30000.0</v>
      </c>
      <c r="R39" s="25">
        <f t="shared" si="26"/>
        <v>88911.375</v>
      </c>
      <c r="S39" s="25">
        <f t="shared" si="27"/>
        <v>102522</v>
      </c>
      <c r="T39" s="24" t="s">
        <v>65</v>
      </c>
    </row>
    <row r="40" ht="90.0" customHeight="1">
      <c r="A40" s="25"/>
      <c r="B40" s="24" t="s">
        <v>63</v>
      </c>
      <c r="C40" s="24" t="s">
        <v>64</v>
      </c>
      <c r="D40" s="24">
        <v>9000000.0</v>
      </c>
      <c r="E40" s="24">
        <v>230000.0</v>
      </c>
      <c r="F40" s="24">
        <v>2500.0</v>
      </c>
      <c r="G40" s="24">
        <v>1000.0</v>
      </c>
      <c r="H40" s="25">
        <f>15.5*F40</f>
        <v>38750</v>
      </c>
      <c r="I40" s="24">
        <v>10000.0</v>
      </c>
      <c r="J40" s="25">
        <f>35*35*25/1000000*D40*10/G40</f>
        <v>2756.25</v>
      </c>
      <c r="K40" s="25">
        <f>7*E40/G40*10</f>
        <v>16100</v>
      </c>
      <c r="L40" s="24">
        <v>5000.0</v>
      </c>
      <c r="M40" s="25">
        <f t="shared" si="24"/>
        <v>56506.25</v>
      </c>
      <c r="N40" s="25">
        <f t="shared" si="25"/>
        <v>69850</v>
      </c>
      <c r="O40" s="24">
        <f t="shared" ref="O40:P40" si="49">2*M40/100</f>
        <v>1130.125</v>
      </c>
      <c r="P40" s="24">
        <f t="shared" si="49"/>
        <v>1397</v>
      </c>
      <c r="Q40" s="24">
        <v>28000.0</v>
      </c>
      <c r="R40" s="25">
        <f t="shared" si="26"/>
        <v>85636.375</v>
      </c>
      <c r="S40" s="25">
        <f t="shared" si="27"/>
        <v>99247</v>
      </c>
      <c r="T40" s="24" t="s">
        <v>66</v>
      </c>
    </row>
    <row r="41" ht="90.0" customHeight="1">
      <c r="A41" s="25"/>
      <c r="B41" s="24" t="s">
        <v>63</v>
      </c>
      <c r="C41" s="24" t="s">
        <v>64</v>
      </c>
      <c r="D41" s="24">
        <v>9000000.0</v>
      </c>
      <c r="E41" s="24">
        <v>230000.0</v>
      </c>
      <c r="F41" s="24">
        <v>2500.0</v>
      </c>
      <c r="G41" s="24">
        <v>2000.0</v>
      </c>
      <c r="H41" s="25">
        <f>15*F41</f>
        <v>37500</v>
      </c>
      <c r="I41" s="24">
        <v>10000.0</v>
      </c>
      <c r="J41" s="25">
        <f>35*35*25/1000000*D41*20/G41</f>
        <v>2756.25</v>
      </c>
      <c r="K41" s="25">
        <f>7*E41/G41*20</f>
        <v>16100</v>
      </c>
      <c r="L41" s="24">
        <v>5000.0</v>
      </c>
      <c r="M41" s="25">
        <f t="shared" si="24"/>
        <v>55256.25</v>
      </c>
      <c r="N41" s="25">
        <f t="shared" si="25"/>
        <v>68600</v>
      </c>
      <c r="O41" s="24">
        <f t="shared" ref="O41:P41" si="50">2*M41/100</f>
        <v>1105.125</v>
      </c>
      <c r="P41" s="24">
        <f t="shared" si="50"/>
        <v>1372</v>
      </c>
      <c r="Q41" s="24">
        <v>25000.0</v>
      </c>
      <c r="R41" s="25">
        <f t="shared" si="26"/>
        <v>81361.375</v>
      </c>
      <c r="S41" s="25">
        <f t="shared" si="27"/>
        <v>94972</v>
      </c>
      <c r="T41" s="24" t="s">
        <v>67</v>
      </c>
    </row>
    <row r="42" ht="90.0" customHeight="1">
      <c r="A42" s="25"/>
      <c r="B42" s="24" t="s">
        <v>68</v>
      </c>
      <c r="C42" s="24" t="s">
        <v>69</v>
      </c>
      <c r="D42" s="24">
        <v>5000000.0</v>
      </c>
      <c r="E42" s="24">
        <v>230000.0</v>
      </c>
      <c r="F42" s="24">
        <v>2500.0</v>
      </c>
      <c r="G42" s="24">
        <v>10.0</v>
      </c>
      <c r="H42" s="25">
        <f>80*F42</f>
        <v>200000</v>
      </c>
      <c r="I42" s="25">
        <f t="shared" ref="I42:I44" si="52">2*F42</f>
        <v>5000</v>
      </c>
      <c r="J42" s="25">
        <f t="shared" ref="J42:J43" si="53">0.1*D42/G42</f>
        <v>50000</v>
      </c>
      <c r="K42" s="24">
        <f>(17+11)*E42/G42</f>
        <v>644000</v>
      </c>
      <c r="L42" s="24">
        <v>10000.0</v>
      </c>
      <c r="M42" s="25">
        <f t="shared" si="24"/>
        <v>265000</v>
      </c>
      <c r="N42" s="25">
        <f t="shared" si="25"/>
        <v>859000</v>
      </c>
      <c r="O42" s="24">
        <f t="shared" ref="O42:P42" si="51">2*M42/100</f>
        <v>5300</v>
      </c>
      <c r="P42" s="24">
        <f t="shared" si="51"/>
        <v>17180</v>
      </c>
      <c r="Q42" s="24">
        <v>25000.0</v>
      </c>
      <c r="R42" s="25">
        <f t="shared" si="26"/>
        <v>295300</v>
      </c>
      <c r="S42" s="25">
        <f t="shared" si="27"/>
        <v>901180</v>
      </c>
      <c r="T42" s="24" t="s">
        <v>70</v>
      </c>
      <c r="V42" s="25">
        <f>((68.5*31*21)+(68.5*21*21))/1000000</f>
        <v>0.074802</v>
      </c>
    </row>
    <row r="43" ht="90.0" customHeight="1">
      <c r="A43" s="25"/>
      <c r="B43" s="24" t="s">
        <v>71</v>
      </c>
      <c r="C43" s="24" t="s">
        <v>72</v>
      </c>
      <c r="D43" s="24">
        <v>5000000.0</v>
      </c>
      <c r="E43" s="24">
        <v>230000.0</v>
      </c>
      <c r="F43" s="24">
        <v>2350.0</v>
      </c>
      <c r="G43" s="24">
        <v>12.0</v>
      </c>
      <c r="H43" s="25">
        <f>75*F43</f>
        <v>176250</v>
      </c>
      <c r="I43" s="25">
        <f t="shared" si="52"/>
        <v>4700</v>
      </c>
      <c r="J43" s="24">
        <f t="shared" si="53"/>
        <v>41666.66667</v>
      </c>
      <c r="K43" s="24">
        <f>14*E43/G43</f>
        <v>268333.3333</v>
      </c>
      <c r="L43" s="24">
        <v>10000.0</v>
      </c>
      <c r="M43" s="25">
        <f t="shared" si="24"/>
        <v>232616.6667</v>
      </c>
      <c r="N43" s="25">
        <f t="shared" si="25"/>
        <v>459283.3333</v>
      </c>
      <c r="O43" s="24">
        <f t="shared" ref="O43:P43" si="54">2*M43/100</f>
        <v>4652.333333</v>
      </c>
      <c r="P43" s="24">
        <f t="shared" si="54"/>
        <v>9185.666667</v>
      </c>
      <c r="Q43" s="24">
        <v>20000.0</v>
      </c>
      <c r="R43" s="25">
        <f t="shared" si="26"/>
        <v>257269</v>
      </c>
      <c r="S43" s="25">
        <f t="shared" si="27"/>
        <v>488469</v>
      </c>
      <c r="T43" s="24" t="s">
        <v>73</v>
      </c>
      <c r="V43" s="24" t="s">
        <v>74</v>
      </c>
    </row>
    <row r="44" ht="90.0" customHeight="1">
      <c r="A44" s="25"/>
      <c r="B44" s="24" t="s">
        <v>71</v>
      </c>
      <c r="C44" s="24" t="s">
        <v>72</v>
      </c>
      <c r="D44" s="24">
        <v>5000000.0</v>
      </c>
      <c r="E44" s="24">
        <v>230000.0</v>
      </c>
      <c r="F44" s="24">
        <v>2350.0</v>
      </c>
      <c r="G44" s="24">
        <v>120.0</v>
      </c>
      <c r="H44" s="25">
        <f>72*F44</f>
        <v>169200</v>
      </c>
      <c r="I44" s="25">
        <f t="shared" si="52"/>
        <v>4700</v>
      </c>
      <c r="J44" s="24">
        <f>44*43*40/1000000*10*D44/G44</f>
        <v>31533.33333</v>
      </c>
      <c r="K44" s="24">
        <f>14*10*E44/G44</f>
        <v>268333.3333</v>
      </c>
      <c r="L44" s="24">
        <v>10000.0</v>
      </c>
      <c r="M44" s="25">
        <f t="shared" si="24"/>
        <v>215433.3333</v>
      </c>
      <c r="N44" s="25">
        <f t="shared" si="25"/>
        <v>452233.3333</v>
      </c>
      <c r="O44" s="24">
        <f t="shared" ref="O44:P44" si="55">2*M44/100</f>
        <v>4308.666667</v>
      </c>
      <c r="P44" s="24">
        <f t="shared" si="55"/>
        <v>9044.666667</v>
      </c>
      <c r="Q44" s="24">
        <v>20000.0</v>
      </c>
      <c r="R44" s="25">
        <f t="shared" si="26"/>
        <v>239742</v>
      </c>
      <c r="S44" s="25">
        <f t="shared" si="27"/>
        <v>481278</v>
      </c>
      <c r="T44" s="24" t="s">
        <v>73</v>
      </c>
      <c r="V44" s="24" t="s">
        <v>74</v>
      </c>
    </row>
    <row r="45" ht="90.0" customHeight="1">
      <c r="A45" s="25"/>
      <c r="E45" s="24">
        <v>230000.0</v>
      </c>
      <c r="F45" s="24">
        <v>2500.0</v>
      </c>
      <c r="G45" s="24">
        <v>1000.0</v>
      </c>
      <c r="H45" s="25">
        <f>1.75*F45</f>
        <v>4375</v>
      </c>
      <c r="I45" s="25">
        <f t="shared" ref="I45:I48" si="56">0.5*F45</f>
        <v>1250</v>
      </c>
      <c r="K45" s="25">
        <f>10*E45/G45</f>
        <v>2300</v>
      </c>
      <c r="L45" s="24">
        <v>2000.0</v>
      </c>
      <c r="N45" s="25">
        <f t="shared" si="25"/>
        <v>9925</v>
      </c>
      <c r="P45" s="24">
        <f t="shared" ref="P45:P48" si="57">2*N45/100</f>
        <v>198.5</v>
      </c>
      <c r="Q45" s="24">
        <v>3000.0</v>
      </c>
      <c r="S45" s="25">
        <f t="shared" si="27"/>
        <v>13123.5</v>
      </c>
      <c r="T45" s="24" t="s">
        <v>75</v>
      </c>
    </row>
    <row r="46" ht="90.0" customHeight="1">
      <c r="A46" s="25"/>
      <c r="E46" s="24">
        <v>230000.0</v>
      </c>
      <c r="F46" s="24">
        <v>2500.0</v>
      </c>
      <c r="G46" s="24">
        <v>1000.0</v>
      </c>
      <c r="H46" s="25">
        <f t="shared" ref="H46:H47" si="58">2.17*F46</f>
        <v>5425</v>
      </c>
      <c r="I46" s="25">
        <f t="shared" si="56"/>
        <v>1250</v>
      </c>
      <c r="K46" s="25">
        <f t="shared" ref="K46:K47" si="59">14*E46/G46</f>
        <v>3220</v>
      </c>
      <c r="L46" s="24">
        <v>2000.0</v>
      </c>
      <c r="N46" s="25">
        <f t="shared" si="25"/>
        <v>11895</v>
      </c>
      <c r="P46" s="24">
        <f t="shared" si="57"/>
        <v>237.9</v>
      </c>
      <c r="Q46" s="24">
        <v>3000.0</v>
      </c>
      <c r="S46" s="25">
        <f t="shared" si="27"/>
        <v>15132.9</v>
      </c>
      <c r="T46" s="24" t="s">
        <v>76</v>
      </c>
    </row>
    <row r="47" ht="90.0" customHeight="1">
      <c r="A47" s="25"/>
      <c r="E47" s="24">
        <v>230000.0</v>
      </c>
      <c r="F47" s="24">
        <v>2500.0</v>
      </c>
      <c r="G47" s="24">
        <v>1000.0</v>
      </c>
      <c r="H47" s="25">
        <f t="shared" si="58"/>
        <v>5425</v>
      </c>
      <c r="I47" s="25">
        <f t="shared" si="56"/>
        <v>1250</v>
      </c>
      <c r="K47" s="25">
        <f t="shared" si="59"/>
        <v>3220</v>
      </c>
      <c r="L47" s="24">
        <v>2000.0</v>
      </c>
      <c r="N47" s="25">
        <f t="shared" si="25"/>
        <v>11895</v>
      </c>
      <c r="P47" s="24">
        <f t="shared" si="57"/>
        <v>237.9</v>
      </c>
      <c r="Q47" s="24">
        <v>3000.0</v>
      </c>
      <c r="S47" s="25">
        <f t="shared" si="27"/>
        <v>15132.9</v>
      </c>
      <c r="T47" s="24" t="s">
        <v>77</v>
      </c>
    </row>
    <row r="48" ht="90.0" customHeight="1">
      <c r="A48" s="25"/>
      <c r="E48" s="24">
        <v>230000.0</v>
      </c>
      <c r="F48" s="24">
        <v>2500.0</v>
      </c>
      <c r="G48" s="24">
        <v>1000.0</v>
      </c>
      <c r="H48" s="25">
        <f>0.49*F48</f>
        <v>1225</v>
      </c>
      <c r="I48" s="25">
        <f t="shared" si="56"/>
        <v>1250</v>
      </c>
      <c r="K48" s="25">
        <f>7*E48/G48</f>
        <v>1610</v>
      </c>
      <c r="L48" s="24">
        <v>2000.0</v>
      </c>
      <c r="N48" s="25">
        <f t="shared" si="25"/>
        <v>6085</v>
      </c>
      <c r="P48" s="24">
        <f t="shared" si="57"/>
        <v>121.7</v>
      </c>
      <c r="Q48" s="24">
        <v>3000.0</v>
      </c>
      <c r="S48" s="25">
        <f t="shared" si="27"/>
        <v>9206.7</v>
      </c>
      <c r="T48" s="24" t="s">
        <v>78</v>
      </c>
    </row>
    <row r="49" ht="90.0" customHeight="1">
      <c r="A49" s="25"/>
    </row>
    <row r="50" ht="90.0" customHeight="1">
      <c r="A50" s="25"/>
    </row>
    <row r="51" ht="90.0" customHeight="1">
      <c r="A51" s="25"/>
    </row>
    <row r="52" ht="90.0" customHeight="1">
      <c r="A52" s="25"/>
      <c r="B52" s="24" t="s">
        <v>79</v>
      </c>
      <c r="C52" s="24" t="s">
        <v>80</v>
      </c>
      <c r="E52" s="24">
        <v>230000.0</v>
      </c>
      <c r="F52" s="24">
        <v>2500.0</v>
      </c>
      <c r="G52" s="24">
        <v>300.0</v>
      </c>
      <c r="H52" s="25">
        <f>1123*F52/G52</f>
        <v>9358.333333</v>
      </c>
      <c r="K52" s="25">
        <f>10*E52/G52</f>
        <v>7666.666667</v>
      </c>
      <c r="L52" s="24">
        <v>2000.0</v>
      </c>
      <c r="N52" s="25">
        <f t="shared" ref="N52:N56" si="60">H52+I52+K52+L52</f>
        <v>19025</v>
      </c>
      <c r="P52" s="24">
        <f t="shared" ref="P52:P53" si="61">2*N52/100</f>
        <v>380.5</v>
      </c>
      <c r="Q52" s="24">
        <v>5000.0</v>
      </c>
      <c r="S52" s="25">
        <f t="shared" ref="S52:S53" si="62">N52+P52+Q52</f>
        <v>24405.5</v>
      </c>
      <c r="T52" s="24" t="s">
        <v>81</v>
      </c>
    </row>
    <row r="53" ht="90.0" customHeight="1">
      <c r="A53" s="25"/>
      <c r="B53" s="24" t="s">
        <v>79</v>
      </c>
      <c r="C53" s="24" t="s">
        <v>80</v>
      </c>
      <c r="E53" s="24">
        <v>230000.0</v>
      </c>
      <c r="F53" s="24">
        <v>2500.0</v>
      </c>
      <c r="G53" s="24">
        <v>500.0</v>
      </c>
      <c r="H53" s="25">
        <f>1548*F53/G53</f>
        <v>7740</v>
      </c>
      <c r="K53" s="25">
        <f>17*E53/G53</f>
        <v>7820</v>
      </c>
      <c r="L53" s="24">
        <v>2000.0</v>
      </c>
      <c r="N53" s="25">
        <f t="shared" si="60"/>
        <v>17560</v>
      </c>
      <c r="P53" s="24">
        <f t="shared" si="61"/>
        <v>351.2</v>
      </c>
      <c r="Q53" s="24">
        <v>5000.0</v>
      </c>
      <c r="S53" s="25">
        <f t="shared" si="62"/>
        <v>22911.2</v>
      </c>
      <c r="T53" s="24" t="s">
        <v>81</v>
      </c>
    </row>
    <row r="54" ht="90.0" customHeight="1">
      <c r="A54" s="25"/>
      <c r="B54" s="26" t="s">
        <v>82</v>
      </c>
      <c r="C54" s="24" t="s">
        <v>83</v>
      </c>
      <c r="D54" s="24">
        <v>1.2E7</v>
      </c>
      <c r="F54" s="24">
        <v>2500.0</v>
      </c>
      <c r="G54" s="24">
        <v>1.0</v>
      </c>
      <c r="H54" s="25">
        <f>((4139+240)*8)*F54</f>
        <v>87580000</v>
      </c>
      <c r="I54" s="25">
        <f>1000</f>
        <v>1000</v>
      </c>
      <c r="J54" s="25">
        <f>75*75*130/1000000*D54</f>
        <v>8775000</v>
      </c>
      <c r="L54" s="24">
        <v>1000000.0</v>
      </c>
      <c r="M54" s="25">
        <f t="shared" ref="M54:M73" si="63">H54+I54+J54+L54</f>
        <v>97356000</v>
      </c>
      <c r="N54" s="25">
        <f t="shared" si="60"/>
        <v>88581000</v>
      </c>
      <c r="O54" s="24">
        <f t="shared" ref="O54:O56" si="64">2*M54/100</f>
        <v>1947120</v>
      </c>
      <c r="Q54" s="24">
        <v>6.0E7</v>
      </c>
      <c r="R54" s="25">
        <f t="shared" ref="R54:R73" si="65">M54+O54+Q54</f>
        <v>159303120</v>
      </c>
      <c r="T54" s="24" t="s">
        <v>84</v>
      </c>
    </row>
    <row r="55" ht="90.0" customHeight="1">
      <c r="A55" s="25"/>
      <c r="B55" s="26" t="s">
        <v>82</v>
      </c>
      <c r="C55" s="24" t="s">
        <v>83</v>
      </c>
      <c r="D55" s="24">
        <v>1.2E7</v>
      </c>
      <c r="F55" s="24">
        <v>2500.0</v>
      </c>
      <c r="G55" s="24">
        <v>1.0</v>
      </c>
      <c r="H55" s="25">
        <f>((6428+285)*8)*F55</f>
        <v>134260000</v>
      </c>
      <c r="I55" s="24">
        <v>1500.0</v>
      </c>
      <c r="J55" s="25">
        <f>115*115*170/1000000*D55</f>
        <v>26979000</v>
      </c>
      <c r="L55" s="24">
        <v>1000000.0</v>
      </c>
      <c r="M55" s="25">
        <f t="shared" si="63"/>
        <v>162240500</v>
      </c>
      <c r="N55" s="25">
        <f t="shared" si="60"/>
        <v>135261500</v>
      </c>
      <c r="O55" s="24">
        <f t="shared" si="64"/>
        <v>3244810</v>
      </c>
      <c r="Q55" s="24">
        <v>6.0E7</v>
      </c>
      <c r="R55" s="25">
        <f t="shared" si="65"/>
        <v>225485310</v>
      </c>
      <c r="T55" s="24" t="s">
        <v>85</v>
      </c>
    </row>
    <row r="56" ht="90.0" customHeight="1">
      <c r="A56" s="25"/>
      <c r="B56" s="26" t="s">
        <v>82</v>
      </c>
      <c r="C56" s="24" t="s">
        <v>83</v>
      </c>
      <c r="D56" s="24">
        <v>1.2E7</v>
      </c>
      <c r="F56" s="24">
        <v>2500.0</v>
      </c>
      <c r="G56" s="24">
        <v>1.0</v>
      </c>
      <c r="H56" s="25">
        <f>((10285+400)*8)*F56</f>
        <v>213700000</v>
      </c>
      <c r="I56" s="24">
        <v>2000.0</v>
      </c>
      <c r="J56" s="25">
        <f>165*165*216/1000000*D56</f>
        <v>70567200</v>
      </c>
      <c r="L56" s="24">
        <v>1000000.0</v>
      </c>
      <c r="M56" s="25">
        <f t="shared" si="63"/>
        <v>285269200</v>
      </c>
      <c r="N56" s="25">
        <f t="shared" si="60"/>
        <v>214702000</v>
      </c>
      <c r="O56" s="24">
        <f t="shared" si="64"/>
        <v>5705384</v>
      </c>
      <c r="Q56" s="24">
        <v>6.0E7</v>
      </c>
      <c r="R56" s="25">
        <f t="shared" si="65"/>
        <v>350974584</v>
      </c>
      <c r="T56" s="24" t="s">
        <v>86</v>
      </c>
    </row>
    <row r="57" ht="90.0" customHeight="1">
      <c r="A57" s="25"/>
      <c r="B57" s="24" t="s">
        <v>87</v>
      </c>
      <c r="C57" s="24" t="s">
        <v>88</v>
      </c>
      <c r="D57" s="24">
        <v>5500000.0</v>
      </c>
      <c r="F57" s="24">
        <v>2500.0</v>
      </c>
      <c r="G57" s="24">
        <v>48.0</v>
      </c>
      <c r="H57" s="25">
        <f>35*F57</f>
        <v>87500</v>
      </c>
      <c r="I57" s="25">
        <f t="shared" ref="I57:I61" si="66">1*F57</f>
        <v>2500</v>
      </c>
      <c r="J57" s="25">
        <f>65*48*53/1000000*D57/G57</f>
        <v>18947.5</v>
      </c>
      <c r="L57" s="24">
        <v>2000.0</v>
      </c>
      <c r="M57" s="25">
        <f t="shared" si="63"/>
        <v>110947.5</v>
      </c>
      <c r="Q57" s="24">
        <v>8000.0</v>
      </c>
      <c r="R57" s="25">
        <f t="shared" si="65"/>
        <v>118947.5</v>
      </c>
      <c r="T57" s="24" t="s">
        <v>89</v>
      </c>
    </row>
    <row r="58" ht="90.0" customHeight="1">
      <c r="A58" s="25"/>
      <c r="B58" s="24" t="s">
        <v>87</v>
      </c>
      <c r="C58" s="24" t="s">
        <v>88</v>
      </c>
      <c r="D58" s="24">
        <v>5500000.0</v>
      </c>
      <c r="F58" s="24">
        <v>2500.0</v>
      </c>
      <c r="G58" s="24">
        <v>40.0</v>
      </c>
      <c r="H58" s="25">
        <f>14*F58</f>
        <v>35000</v>
      </c>
      <c r="I58" s="25">
        <f t="shared" si="66"/>
        <v>2500</v>
      </c>
      <c r="J58" s="25">
        <f>48*44*48/1000000*D58/G58</f>
        <v>13939.2</v>
      </c>
      <c r="L58" s="24">
        <v>2000.0</v>
      </c>
      <c r="M58" s="25">
        <f t="shared" si="63"/>
        <v>53439.2</v>
      </c>
      <c r="Q58" s="24">
        <v>8000.0</v>
      </c>
      <c r="R58" s="25">
        <f t="shared" si="65"/>
        <v>61439.2</v>
      </c>
      <c r="T58" s="24" t="s">
        <v>90</v>
      </c>
    </row>
    <row r="59" ht="90.0" customHeight="1">
      <c r="A59" s="25"/>
      <c r="B59" s="24" t="s">
        <v>87</v>
      </c>
      <c r="C59" s="24" t="s">
        <v>88</v>
      </c>
      <c r="D59" s="24">
        <v>5500000.0</v>
      </c>
      <c r="F59" s="24">
        <v>2500.0</v>
      </c>
      <c r="G59" s="24">
        <v>60.0</v>
      </c>
      <c r="H59" s="25">
        <f>10*F59</f>
        <v>25000</v>
      </c>
      <c r="I59" s="25">
        <f t="shared" si="66"/>
        <v>2500</v>
      </c>
      <c r="J59" s="25">
        <f>60*50*50/1000000*D59/G59</f>
        <v>13750</v>
      </c>
      <c r="L59" s="24">
        <v>2000.0</v>
      </c>
      <c r="M59" s="25">
        <f t="shared" si="63"/>
        <v>43250</v>
      </c>
      <c r="Q59" s="24">
        <v>8000.0</v>
      </c>
      <c r="R59" s="25">
        <f t="shared" si="65"/>
        <v>51250</v>
      </c>
      <c r="T59" s="24" t="s">
        <v>91</v>
      </c>
    </row>
    <row r="60" ht="90.0" customHeight="1">
      <c r="A60" s="25"/>
      <c r="B60" s="24" t="s">
        <v>87</v>
      </c>
      <c r="C60" s="24" t="s">
        <v>88</v>
      </c>
      <c r="D60" s="24">
        <v>5500000.0</v>
      </c>
      <c r="F60" s="24">
        <v>2500.0</v>
      </c>
      <c r="G60" s="24">
        <v>36.0</v>
      </c>
      <c r="H60" s="25">
        <f>11*F60</f>
        <v>27500</v>
      </c>
      <c r="I60" s="25">
        <f t="shared" si="66"/>
        <v>2500</v>
      </c>
      <c r="J60" s="25">
        <f>0.1*D60/G60</f>
        <v>15277.77778</v>
      </c>
      <c r="L60" s="24">
        <v>2000.0</v>
      </c>
      <c r="M60" s="25">
        <f t="shared" si="63"/>
        <v>47277.77778</v>
      </c>
      <c r="Q60" s="24">
        <v>8000.0</v>
      </c>
      <c r="R60" s="25">
        <f t="shared" si="65"/>
        <v>55277.77778</v>
      </c>
      <c r="T60" s="24" t="s">
        <v>92</v>
      </c>
    </row>
    <row r="61" ht="90.0" customHeight="1">
      <c r="A61" s="25"/>
      <c r="B61" s="24" t="s">
        <v>87</v>
      </c>
      <c r="C61" s="24" t="s">
        <v>88</v>
      </c>
      <c r="D61" s="24">
        <v>5500000.0</v>
      </c>
      <c r="F61" s="24">
        <v>2500.0</v>
      </c>
      <c r="G61" s="24">
        <v>48.0</v>
      </c>
      <c r="H61" s="25">
        <f>16*F61</f>
        <v>40000</v>
      </c>
      <c r="I61" s="25">
        <f t="shared" si="66"/>
        <v>2500</v>
      </c>
      <c r="J61" s="25">
        <f>58*50*50/1000000*D61/G61</f>
        <v>16614.58333</v>
      </c>
      <c r="L61" s="24">
        <v>2000.0</v>
      </c>
      <c r="M61" s="25">
        <f t="shared" si="63"/>
        <v>61114.58333</v>
      </c>
      <c r="Q61" s="24">
        <v>8000.0</v>
      </c>
      <c r="R61" s="25">
        <f t="shared" si="65"/>
        <v>69114.58333</v>
      </c>
      <c r="T61" s="24" t="s">
        <v>93</v>
      </c>
    </row>
    <row r="62" ht="90.0" customHeight="1">
      <c r="A62" s="25"/>
      <c r="B62" s="24" t="s">
        <v>94</v>
      </c>
      <c r="C62" s="24" t="s">
        <v>95</v>
      </c>
      <c r="D62" s="24">
        <v>5500000.0</v>
      </c>
      <c r="F62" s="24">
        <v>2500.0</v>
      </c>
      <c r="G62" s="24" t="s">
        <v>96</v>
      </c>
      <c r="H62" s="25">
        <f>23*F62</f>
        <v>57500</v>
      </c>
      <c r="I62" s="25">
        <f t="shared" ref="I62:I67" si="67">2*F62</f>
        <v>5000</v>
      </c>
      <c r="J62" s="24">
        <v>10000.0</v>
      </c>
      <c r="L62" s="24">
        <v>10000.0</v>
      </c>
      <c r="M62" s="25">
        <f t="shared" si="63"/>
        <v>82500</v>
      </c>
      <c r="O62" s="24">
        <f t="shared" ref="O62:O73" si="68">2*M62/100</f>
        <v>1650</v>
      </c>
      <c r="Q62" s="24">
        <v>16000.0</v>
      </c>
      <c r="R62" s="25">
        <f t="shared" si="65"/>
        <v>100150</v>
      </c>
    </row>
    <row r="63" ht="90.0" customHeight="1">
      <c r="A63" s="25"/>
      <c r="B63" s="24" t="s">
        <v>94</v>
      </c>
      <c r="C63" s="24" t="s">
        <v>95</v>
      </c>
      <c r="D63" s="24">
        <v>5500000.0</v>
      </c>
      <c r="F63" s="24">
        <v>2500.0</v>
      </c>
      <c r="G63" s="24" t="s">
        <v>97</v>
      </c>
      <c r="H63" s="25">
        <f>22*F63</f>
        <v>55000</v>
      </c>
      <c r="I63" s="25">
        <f t="shared" si="67"/>
        <v>5000</v>
      </c>
      <c r="J63" s="24">
        <v>10000.0</v>
      </c>
      <c r="L63" s="24">
        <v>10000.0</v>
      </c>
      <c r="M63" s="25">
        <f t="shared" si="63"/>
        <v>80000</v>
      </c>
      <c r="O63" s="24">
        <f t="shared" si="68"/>
        <v>1600</v>
      </c>
      <c r="Q63" s="24">
        <v>16000.0</v>
      </c>
      <c r="R63" s="25">
        <f t="shared" si="65"/>
        <v>97600</v>
      </c>
    </row>
    <row r="64" ht="90.0" customHeight="1">
      <c r="A64" s="25"/>
      <c r="B64" s="24" t="s">
        <v>94</v>
      </c>
      <c r="C64" s="24" t="s">
        <v>95</v>
      </c>
      <c r="D64" s="24">
        <v>5500000.0</v>
      </c>
      <c r="F64" s="24">
        <v>2500.0</v>
      </c>
      <c r="G64" s="24" t="s">
        <v>98</v>
      </c>
      <c r="H64" s="25">
        <f>20.1*F64</f>
        <v>50250</v>
      </c>
      <c r="I64" s="25">
        <f t="shared" si="67"/>
        <v>5000</v>
      </c>
      <c r="J64" s="24">
        <v>10000.0</v>
      </c>
      <c r="L64" s="24">
        <v>10000.0</v>
      </c>
      <c r="M64" s="25">
        <f t="shared" si="63"/>
        <v>75250</v>
      </c>
      <c r="O64" s="24">
        <f t="shared" si="68"/>
        <v>1505</v>
      </c>
      <c r="Q64" s="24">
        <v>15000.0</v>
      </c>
      <c r="R64" s="25">
        <f t="shared" si="65"/>
        <v>91755</v>
      </c>
    </row>
    <row r="65" ht="90.0" customHeight="1">
      <c r="A65" s="25"/>
      <c r="B65" s="24" t="s">
        <v>94</v>
      </c>
      <c r="C65" s="24" t="s">
        <v>95</v>
      </c>
      <c r="D65" s="24">
        <v>5500000.0</v>
      </c>
      <c r="F65" s="24">
        <v>2500.0</v>
      </c>
      <c r="G65" s="24" t="s">
        <v>99</v>
      </c>
      <c r="H65" s="25">
        <f>19.6*F65</f>
        <v>49000</v>
      </c>
      <c r="I65" s="25">
        <f t="shared" si="67"/>
        <v>5000</v>
      </c>
      <c r="J65" s="24">
        <v>10000.0</v>
      </c>
      <c r="L65" s="24">
        <v>10000.0</v>
      </c>
      <c r="M65" s="25">
        <f t="shared" si="63"/>
        <v>74000</v>
      </c>
      <c r="O65" s="24">
        <f t="shared" si="68"/>
        <v>1480</v>
      </c>
      <c r="Q65" s="24">
        <v>14000.0</v>
      </c>
      <c r="R65" s="25">
        <f t="shared" si="65"/>
        <v>89480</v>
      </c>
    </row>
    <row r="66" ht="90.0" customHeight="1">
      <c r="A66" s="25"/>
      <c r="B66" s="24" t="s">
        <v>94</v>
      </c>
      <c r="C66" s="24" t="s">
        <v>95</v>
      </c>
      <c r="D66" s="24">
        <v>5500000.0</v>
      </c>
      <c r="F66" s="24">
        <v>2500.0</v>
      </c>
      <c r="G66" s="24" t="s">
        <v>100</v>
      </c>
      <c r="H66" s="25">
        <f>19.1*F66</f>
        <v>47750</v>
      </c>
      <c r="I66" s="25">
        <f t="shared" si="67"/>
        <v>5000</v>
      </c>
      <c r="J66" s="24">
        <v>10000.0</v>
      </c>
      <c r="L66" s="24">
        <v>10000.0</v>
      </c>
      <c r="M66" s="25">
        <f t="shared" si="63"/>
        <v>72750</v>
      </c>
      <c r="O66" s="24">
        <f t="shared" si="68"/>
        <v>1455</v>
      </c>
      <c r="Q66" s="24">
        <v>13000.0</v>
      </c>
      <c r="R66" s="25">
        <f t="shared" si="65"/>
        <v>87205</v>
      </c>
    </row>
    <row r="67" ht="90.0" customHeight="1">
      <c r="A67" s="25"/>
      <c r="B67" s="24" t="s">
        <v>94</v>
      </c>
      <c r="C67" s="24" t="s">
        <v>95</v>
      </c>
      <c r="D67" s="24">
        <v>5500000.0</v>
      </c>
      <c r="F67" s="24">
        <v>2500.0</v>
      </c>
      <c r="G67" s="27">
        <v>10000.0</v>
      </c>
      <c r="H67" s="25">
        <f>18.6*F67</f>
        <v>46500</v>
      </c>
      <c r="I67" s="25">
        <f t="shared" si="67"/>
        <v>5000</v>
      </c>
      <c r="J67" s="24">
        <v>10000.0</v>
      </c>
      <c r="L67" s="24">
        <v>10000.0</v>
      </c>
      <c r="M67" s="25">
        <f t="shared" si="63"/>
        <v>71500</v>
      </c>
      <c r="O67" s="24">
        <f t="shared" si="68"/>
        <v>1430</v>
      </c>
      <c r="Q67" s="24">
        <v>12000.0</v>
      </c>
      <c r="R67" s="25">
        <f t="shared" si="65"/>
        <v>84930</v>
      </c>
    </row>
    <row r="68" ht="90.0" customHeight="1">
      <c r="B68" s="24" t="s">
        <v>101</v>
      </c>
      <c r="D68" s="24">
        <v>5500000.0</v>
      </c>
      <c r="F68" s="24">
        <v>2500.0</v>
      </c>
      <c r="G68" s="24">
        <v>600.0</v>
      </c>
      <c r="H68" s="25">
        <f>5*F68</f>
        <v>12500</v>
      </c>
      <c r="J68" s="25">
        <f t="shared" ref="J68:J69" si="69">0.2*D68/G68</f>
        <v>1833.333333</v>
      </c>
      <c r="L68" s="24">
        <v>3000.0</v>
      </c>
      <c r="M68" s="25">
        <f t="shared" si="63"/>
        <v>17333.33333</v>
      </c>
      <c r="O68" s="24">
        <f t="shared" si="68"/>
        <v>346.6666667</v>
      </c>
      <c r="Q68" s="24">
        <v>8000.0</v>
      </c>
      <c r="R68" s="25">
        <f t="shared" si="65"/>
        <v>25680</v>
      </c>
    </row>
    <row r="69" ht="90.0" customHeight="1">
      <c r="B69" s="24" t="s">
        <v>102</v>
      </c>
      <c r="D69" s="24">
        <v>5500000.0</v>
      </c>
      <c r="F69" s="24">
        <v>2500.0</v>
      </c>
      <c r="G69" s="24">
        <v>600.0</v>
      </c>
      <c r="H69" s="25">
        <f>5.6*F69</f>
        <v>14000</v>
      </c>
      <c r="J69" s="25">
        <f t="shared" si="69"/>
        <v>1833.333333</v>
      </c>
      <c r="L69" s="24">
        <v>3000.0</v>
      </c>
      <c r="M69" s="25">
        <f t="shared" si="63"/>
        <v>18833.33333</v>
      </c>
      <c r="O69" s="24">
        <f t="shared" si="68"/>
        <v>376.6666667</v>
      </c>
      <c r="Q69" s="24">
        <v>8000.0</v>
      </c>
      <c r="R69" s="25">
        <f t="shared" si="65"/>
        <v>27210</v>
      </c>
    </row>
    <row r="70" ht="90.0" customHeight="1">
      <c r="B70" s="24" t="s">
        <v>101</v>
      </c>
      <c r="D70" s="24">
        <v>5500000.0</v>
      </c>
      <c r="F70" s="24">
        <v>2500.0</v>
      </c>
      <c r="G70" s="24">
        <v>1000.0</v>
      </c>
      <c r="H70" s="25">
        <f>4.9*F70</f>
        <v>12250</v>
      </c>
      <c r="J70" s="25">
        <f t="shared" ref="J70:J71" si="70">0.32*D70/G70</f>
        <v>1760</v>
      </c>
      <c r="L70" s="24">
        <v>3000.0</v>
      </c>
      <c r="M70" s="25">
        <f t="shared" si="63"/>
        <v>17010</v>
      </c>
      <c r="O70" s="24">
        <f t="shared" si="68"/>
        <v>340.2</v>
      </c>
      <c r="Q70" s="24">
        <v>8000.0</v>
      </c>
      <c r="R70" s="25">
        <f t="shared" si="65"/>
        <v>25350.2</v>
      </c>
    </row>
    <row r="71" ht="90.0" customHeight="1">
      <c r="B71" s="24" t="s">
        <v>102</v>
      </c>
      <c r="D71" s="24">
        <v>5500000.0</v>
      </c>
      <c r="F71" s="24">
        <v>2500.0</v>
      </c>
      <c r="G71" s="24">
        <v>1000.0</v>
      </c>
      <c r="H71" s="25">
        <f>5.5*F71</f>
        <v>13750</v>
      </c>
      <c r="J71" s="25">
        <f t="shared" si="70"/>
        <v>1760</v>
      </c>
      <c r="L71" s="24">
        <v>3000.0</v>
      </c>
      <c r="M71" s="25">
        <f t="shared" si="63"/>
        <v>18510</v>
      </c>
      <c r="O71" s="24">
        <f t="shared" si="68"/>
        <v>370.2</v>
      </c>
      <c r="Q71" s="24">
        <v>8000.0</v>
      </c>
      <c r="R71" s="25">
        <f t="shared" si="65"/>
        <v>26880.2</v>
      </c>
    </row>
    <row r="72" ht="90.0" customHeight="1">
      <c r="B72" s="24" t="s">
        <v>101</v>
      </c>
      <c r="D72" s="24">
        <v>5500000.0</v>
      </c>
      <c r="F72" s="24">
        <v>2500.0</v>
      </c>
      <c r="G72" s="24">
        <v>2000.0</v>
      </c>
      <c r="H72" s="25">
        <f>4.7*F72</f>
        <v>11750</v>
      </c>
      <c r="J72" s="25">
        <f t="shared" ref="J72:J73" si="71">0.63*D72/G72</f>
        <v>1732.5</v>
      </c>
      <c r="L72" s="24">
        <v>3000.0</v>
      </c>
      <c r="M72" s="25">
        <f t="shared" si="63"/>
        <v>16482.5</v>
      </c>
      <c r="O72" s="24">
        <f t="shared" si="68"/>
        <v>329.65</v>
      </c>
      <c r="Q72" s="24">
        <v>8000.0</v>
      </c>
      <c r="R72" s="25">
        <f t="shared" si="65"/>
        <v>24812.15</v>
      </c>
    </row>
    <row r="73" ht="90.0" customHeight="1">
      <c r="B73" s="24" t="s">
        <v>102</v>
      </c>
      <c r="D73" s="24">
        <v>5500000.0</v>
      </c>
      <c r="F73" s="24">
        <v>2500.0</v>
      </c>
      <c r="G73" s="24">
        <v>2000.0</v>
      </c>
      <c r="H73" s="25">
        <f>5.2*F73</f>
        <v>13000</v>
      </c>
      <c r="J73" s="25">
        <f t="shared" si="71"/>
        <v>1732.5</v>
      </c>
      <c r="L73" s="24">
        <v>3000.0</v>
      </c>
      <c r="M73" s="25">
        <f t="shared" si="63"/>
        <v>17732.5</v>
      </c>
      <c r="O73" s="24">
        <f t="shared" si="68"/>
        <v>354.65</v>
      </c>
      <c r="Q73" s="24">
        <v>8000.0</v>
      </c>
      <c r="R73" s="25">
        <f t="shared" si="65"/>
        <v>26087.15</v>
      </c>
    </row>
    <row r="74" ht="90.0" customHeight="1">
      <c r="A74" s="25"/>
      <c r="B74" s="28" t="s">
        <v>103</v>
      </c>
      <c r="C74" s="29" t="s">
        <v>104</v>
      </c>
    </row>
    <row r="75" ht="90.0" customHeight="1">
      <c r="A75" s="25"/>
      <c r="B75" s="28" t="s">
        <v>103</v>
      </c>
      <c r="C75" s="29" t="s">
        <v>104</v>
      </c>
    </row>
    <row r="76" ht="90.0" customHeight="1">
      <c r="A76" s="25"/>
      <c r="B76" s="24" t="s">
        <v>68</v>
      </c>
      <c r="C76" s="24" t="s">
        <v>69</v>
      </c>
      <c r="D76" s="24">
        <v>8000000.0</v>
      </c>
      <c r="E76" s="24">
        <v>265000.0</v>
      </c>
      <c r="F76" s="24">
        <v>2700.0</v>
      </c>
      <c r="G76" s="24">
        <v>12.0</v>
      </c>
      <c r="H76" s="25">
        <f>85*F76</f>
        <v>229500</v>
      </c>
      <c r="I76" s="25">
        <f>12*F76</f>
        <v>32400</v>
      </c>
      <c r="J76" s="25">
        <f>0.1*D76/G76</f>
        <v>66666.66667</v>
      </c>
      <c r="K76" s="24">
        <f>(17+11)*E76/G76</f>
        <v>618333.3333</v>
      </c>
      <c r="L76" s="24">
        <v>100000.0</v>
      </c>
      <c r="M76" s="25">
        <f t="shared" ref="M76:M83" si="73">H76+I76+J76+L76</f>
        <v>428566.6667</v>
      </c>
      <c r="N76" s="25">
        <f t="shared" ref="N76:N80" si="74">H76+I76+K76+L76</f>
        <v>980233.3333</v>
      </c>
      <c r="O76" s="24">
        <f t="shared" ref="O76:P76" si="72">2*M76/100</f>
        <v>8571.333333</v>
      </c>
      <c r="P76" s="24">
        <f t="shared" si="72"/>
        <v>19604.66667</v>
      </c>
      <c r="Q76" s="24">
        <v>75000.0</v>
      </c>
      <c r="R76" s="25">
        <f t="shared" ref="R76:R83" si="76">M76+O76+Q76</f>
        <v>512138</v>
      </c>
      <c r="S76" s="25">
        <f t="shared" ref="S76:S80" si="77">N76+P76+Q76</f>
        <v>1074838</v>
      </c>
    </row>
    <row r="77" ht="90.0" customHeight="1">
      <c r="A77" s="25"/>
      <c r="B77" s="24" t="s">
        <v>105</v>
      </c>
      <c r="C77" s="24" t="s">
        <v>106</v>
      </c>
      <c r="D77" s="24">
        <v>1.0E7</v>
      </c>
      <c r="E77" s="24">
        <v>265000.0</v>
      </c>
      <c r="F77" s="24">
        <v>2750.0</v>
      </c>
      <c r="G77" s="24">
        <v>100.0</v>
      </c>
      <c r="H77" s="25">
        <f>26*F77</f>
        <v>71500</v>
      </c>
      <c r="I77" s="25">
        <f>140*F77/G77</f>
        <v>3850</v>
      </c>
      <c r="J77" s="25">
        <f>0.27*D77/G77</f>
        <v>27000</v>
      </c>
      <c r="L77" s="24">
        <v>15000.0</v>
      </c>
      <c r="M77" s="25">
        <f t="shared" si="73"/>
        <v>117350</v>
      </c>
      <c r="N77" s="25">
        <f t="shared" si="74"/>
        <v>90350</v>
      </c>
      <c r="O77" s="24">
        <f t="shared" ref="O77:P77" si="75">2*M77/100</f>
        <v>2347</v>
      </c>
      <c r="P77" s="24">
        <f t="shared" si="75"/>
        <v>1807</v>
      </c>
      <c r="Q77" s="24">
        <v>50000.0</v>
      </c>
      <c r="R77" s="25">
        <f t="shared" si="76"/>
        <v>169697</v>
      </c>
      <c r="S77" s="25">
        <f t="shared" si="77"/>
        <v>142157</v>
      </c>
    </row>
    <row r="78" ht="90.0" customHeight="1">
      <c r="A78" s="25"/>
      <c r="B78" s="24" t="s">
        <v>105</v>
      </c>
      <c r="C78" s="24" t="s">
        <v>106</v>
      </c>
      <c r="D78" s="24">
        <v>1.0E7</v>
      </c>
      <c r="E78" s="24">
        <v>265000.0</v>
      </c>
      <c r="F78" s="24">
        <v>2750.0</v>
      </c>
      <c r="G78" s="24">
        <v>500.0</v>
      </c>
      <c r="H78" s="25">
        <f>22.56*F78</f>
        <v>62040</v>
      </c>
      <c r="I78" s="25">
        <f>350*F78/G78</f>
        <v>1925</v>
      </c>
      <c r="J78" s="25">
        <f>1.35*D78/G78</f>
        <v>27000</v>
      </c>
      <c r="L78" s="24">
        <v>15000.0</v>
      </c>
      <c r="M78" s="25">
        <f t="shared" si="73"/>
        <v>105965</v>
      </c>
      <c r="N78" s="25">
        <f t="shared" si="74"/>
        <v>78965</v>
      </c>
      <c r="O78" s="24">
        <f t="shared" ref="O78:P78" si="78">2*M78/100</f>
        <v>2119.3</v>
      </c>
      <c r="P78" s="24">
        <f t="shared" si="78"/>
        <v>1579.3</v>
      </c>
      <c r="Q78" s="24">
        <v>40000.0</v>
      </c>
      <c r="R78" s="25">
        <f t="shared" si="76"/>
        <v>148084.3</v>
      </c>
      <c r="S78" s="25">
        <f t="shared" si="77"/>
        <v>120544.3</v>
      </c>
    </row>
    <row r="79" ht="90.0" customHeight="1">
      <c r="A79" s="25"/>
      <c r="B79" s="24" t="s">
        <v>107</v>
      </c>
      <c r="C79" s="24" t="s">
        <v>108</v>
      </c>
      <c r="D79" s="24">
        <v>1.0E7</v>
      </c>
      <c r="E79" s="24">
        <v>250000.0</v>
      </c>
      <c r="F79" s="24">
        <v>2800.0</v>
      </c>
      <c r="G79" s="24">
        <v>1.0</v>
      </c>
      <c r="H79" s="25">
        <f>14340*F79</f>
        <v>40152000</v>
      </c>
      <c r="I79" s="24">
        <v>0.0</v>
      </c>
      <c r="J79" s="25">
        <f>98*47*25/1000000*D79</f>
        <v>1151500</v>
      </c>
      <c r="K79" s="25">
        <f>98*47*25/6000*E79</f>
        <v>4797916.667</v>
      </c>
      <c r="L79" s="24">
        <v>5000000.0</v>
      </c>
      <c r="M79" s="25">
        <f t="shared" si="73"/>
        <v>46303500</v>
      </c>
      <c r="N79" s="25">
        <f t="shared" si="74"/>
        <v>49949916.67</v>
      </c>
      <c r="O79" s="24">
        <f t="shared" ref="O79:P79" si="79">2*M79/100</f>
        <v>926070</v>
      </c>
      <c r="P79" s="24">
        <f t="shared" si="79"/>
        <v>998998.3333</v>
      </c>
      <c r="Q79" s="24">
        <v>2.5E7</v>
      </c>
      <c r="R79" s="25">
        <f t="shared" si="76"/>
        <v>72229570</v>
      </c>
      <c r="S79" s="25">
        <f t="shared" si="77"/>
        <v>75948915</v>
      </c>
    </row>
    <row r="80" ht="90.0" customHeight="1">
      <c r="A80" s="25"/>
      <c r="B80" s="24" t="s">
        <v>109</v>
      </c>
      <c r="C80" s="24" t="s">
        <v>108</v>
      </c>
      <c r="D80" s="24">
        <v>1.0E7</v>
      </c>
      <c r="E80" s="24">
        <v>250000.0</v>
      </c>
      <c r="F80" s="24">
        <v>2800.0</v>
      </c>
      <c r="G80" s="24">
        <v>1.0</v>
      </c>
      <c r="H80" s="25">
        <f>577*F80</f>
        <v>1615600</v>
      </c>
      <c r="I80" s="24">
        <v>0.0</v>
      </c>
      <c r="J80" s="25">
        <f>94*63*13/1000000*D80</f>
        <v>769860</v>
      </c>
      <c r="K80" s="25">
        <f>15*E80</f>
        <v>3750000</v>
      </c>
      <c r="L80" s="24">
        <v>100000.0</v>
      </c>
      <c r="M80" s="25">
        <f t="shared" si="73"/>
        <v>2485460</v>
      </c>
      <c r="N80" s="25">
        <f t="shared" si="74"/>
        <v>5465600</v>
      </c>
      <c r="O80" s="24">
        <f t="shared" ref="O80:P80" si="80">2*M80/100</f>
        <v>49709.2</v>
      </c>
      <c r="P80" s="24">
        <f t="shared" si="80"/>
        <v>109312</v>
      </c>
      <c r="Q80" s="24">
        <v>3000000.0</v>
      </c>
      <c r="R80" s="25">
        <f t="shared" si="76"/>
        <v>5535169.2</v>
      </c>
      <c r="S80" s="25">
        <f t="shared" si="77"/>
        <v>8574912</v>
      </c>
    </row>
    <row r="81" ht="90.0" customHeight="1">
      <c r="A81" s="25"/>
      <c r="B81" s="30" t="s">
        <v>110</v>
      </c>
      <c r="C81" s="24" t="s">
        <v>111</v>
      </c>
      <c r="D81" s="24">
        <v>1.0E7</v>
      </c>
      <c r="E81" s="24">
        <v>265000.0</v>
      </c>
      <c r="F81" s="24">
        <v>3000.0</v>
      </c>
      <c r="G81" s="24">
        <v>6.0</v>
      </c>
      <c r="H81" s="25">
        <f>625*F81</f>
        <v>1875000</v>
      </c>
      <c r="J81" s="24">
        <v>650000.0</v>
      </c>
      <c r="L81" s="24">
        <v>100000.0</v>
      </c>
      <c r="M81" s="25">
        <f t="shared" si="73"/>
        <v>2625000</v>
      </c>
      <c r="O81" s="24">
        <f t="shared" ref="O81:O83" si="81">2*M81/100</f>
        <v>52500</v>
      </c>
      <c r="Q81" s="24">
        <v>500000.0</v>
      </c>
      <c r="R81" s="25">
        <f t="shared" si="76"/>
        <v>3177500</v>
      </c>
      <c r="T81" s="24" t="s">
        <v>112</v>
      </c>
    </row>
    <row r="82" ht="90.0" customHeight="1">
      <c r="A82" s="25"/>
      <c r="B82" s="30" t="s">
        <v>110</v>
      </c>
      <c r="C82" s="24" t="s">
        <v>111</v>
      </c>
      <c r="D82" s="24">
        <v>1.0E7</v>
      </c>
      <c r="E82" s="24">
        <v>265000.0</v>
      </c>
      <c r="F82" s="24">
        <v>3000.0</v>
      </c>
      <c r="G82" s="24">
        <v>6.0</v>
      </c>
      <c r="H82" s="25">
        <f>750*F82</f>
        <v>2250000</v>
      </c>
      <c r="J82" s="24">
        <v>800000.0</v>
      </c>
      <c r="L82" s="24">
        <v>100000.0</v>
      </c>
      <c r="M82" s="25">
        <f t="shared" si="73"/>
        <v>3150000</v>
      </c>
      <c r="O82" s="24">
        <f t="shared" si="81"/>
        <v>63000</v>
      </c>
      <c r="Q82" s="24">
        <v>500000.0</v>
      </c>
      <c r="R82" s="25">
        <f t="shared" si="76"/>
        <v>3713000</v>
      </c>
      <c r="T82" s="24" t="s">
        <v>113</v>
      </c>
    </row>
    <row r="83" ht="90.0" customHeight="1">
      <c r="A83" s="25"/>
      <c r="B83" s="30" t="s">
        <v>110</v>
      </c>
      <c r="C83" s="24" t="s">
        <v>114</v>
      </c>
      <c r="D83" s="24">
        <v>1.0E7</v>
      </c>
      <c r="E83" s="24">
        <v>265000.0</v>
      </c>
      <c r="F83" s="24">
        <v>3000.0</v>
      </c>
      <c r="G83" s="24">
        <v>6.0</v>
      </c>
      <c r="H83" s="25">
        <f>355*F83</f>
        <v>1065000</v>
      </c>
      <c r="J83" s="24">
        <v>800000.0</v>
      </c>
      <c r="L83" s="24">
        <v>160000.0</v>
      </c>
      <c r="M83" s="25">
        <f t="shared" si="73"/>
        <v>2025000</v>
      </c>
      <c r="O83" s="24">
        <f t="shared" si="81"/>
        <v>40500</v>
      </c>
      <c r="Q83" s="24">
        <v>500000.0</v>
      </c>
      <c r="R83" s="25">
        <f t="shared" si="76"/>
        <v>2565500</v>
      </c>
      <c r="T83" s="24" t="s">
        <v>115</v>
      </c>
    </row>
    <row r="84" ht="90.0" customHeight="1">
      <c r="A84" s="25"/>
      <c r="B84" s="24" t="s">
        <v>116</v>
      </c>
      <c r="C84" s="24" t="s">
        <v>106</v>
      </c>
      <c r="G84" s="24">
        <v>100.0</v>
      </c>
      <c r="Q84" s="24">
        <v>10000.0</v>
      </c>
      <c r="R84" s="24">
        <v>55000.0</v>
      </c>
      <c r="T84" s="24" t="s">
        <v>117</v>
      </c>
    </row>
    <row r="85" ht="90.0" customHeight="1">
      <c r="A85" s="25"/>
      <c r="B85" s="24" t="s">
        <v>116</v>
      </c>
      <c r="C85" s="24" t="s">
        <v>106</v>
      </c>
      <c r="G85" s="24">
        <v>300.0</v>
      </c>
      <c r="Q85" s="24">
        <v>10000.0</v>
      </c>
      <c r="R85" s="24">
        <v>48000.0</v>
      </c>
      <c r="T85" s="24" t="s">
        <v>117</v>
      </c>
    </row>
    <row r="86" ht="90.0" customHeight="1">
      <c r="A86" s="25"/>
      <c r="B86" s="24" t="s">
        <v>116</v>
      </c>
      <c r="C86" s="24" t="s">
        <v>106</v>
      </c>
      <c r="G86" s="24">
        <v>500.0</v>
      </c>
      <c r="Q86" s="24">
        <v>10000.0</v>
      </c>
      <c r="R86" s="24">
        <v>46000.0</v>
      </c>
      <c r="T86" s="24" t="s">
        <v>117</v>
      </c>
    </row>
    <row r="87" ht="90.0" customHeight="1"/>
    <row r="88" ht="90.0" customHeight="1"/>
    <row r="89" ht="90.0" customHeight="1"/>
    <row r="90" ht="90.0" customHeight="1"/>
    <row r="91" ht="90.0" customHeight="1"/>
    <row r="92" ht="90.0" customHeight="1"/>
    <row r="93" ht="90.0" customHeight="1"/>
    <row r="94" ht="90.0" customHeight="1"/>
    <row r="95" ht="90.0" customHeight="1"/>
    <row r="96" ht="90.0" customHeight="1"/>
    <row r="97" ht="90.0" customHeight="1"/>
    <row r="98" ht="90.0" customHeight="1"/>
    <row r="99" ht="90.0" customHeight="1"/>
    <row r="100" ht="90.0" customHeight="1"/>
    <row r="101" ht="90.0" customHeight="1"/>
    <row r="102" ht="90.0" customHeight="1"/>
    <row r="103" ht="90.0" customHeight="1"/>
    <row r="104" ht="90.0" customHeight="1"/>
    <row r="105" ht="90.0" customHeight="1"/>
    <row r="106" ht="90.0" customHeight="1"/>
    <row r="107" ht="90.0" customHeight="1"/>
    <row r="108" ht="90.0" customHeight="1"/>
    <row r="109" ht="90.0" customHeight="1"/>
    <row r="110" ht="90.0" customHeight="1"/>
    <row r="111" ht="90.0" customHeight="1"/>
    <row r="112" ht="90.0" customHeight="1"/>
    <row r="113" ht="90.0" customHeight="1"/>
    <row r="114" ht="90.0" customHeight="1"/>
    <row r="115" ht="90.0" customHeight="1"/>
    <row r="116" ht="90.0" customHeight="1"/>
    <row r="117" ht="90.0" customHeight="1"/>
    <row r="118" ht="90.0" customHeight="1"/>
    <row r="119" ht="90.0" customHeight="1"/>
    <row r="120" ht="90.0" customHeight="1"/>
    <row r="121" ht="90.0" customHeight="1"/>
    <row r="122" ht="90.0" customHeight="1"/>
    <row r="123" ht="90.0" customHeight="1"/>
    <row r="124" ht="90.0" customHeight="1"/>
    <row r="125" ht="90.0" customHeight="1"/>
    <row r="126" ht="90.0" customHeight="1"/>
    <row r="127" ht="90.0" customHeight="1"/>
    <row r="128" ht="90.0" customHeight="1"/>
    <row r="129" ht="90.0" customHeight="1"/>
    <row r="130" ht="90.0" customHeight="1"/>
    <row r="131" ht="90.0" customHeight="1"/>
    <row r="132" ht="90.0" customHeight="1"/>
    <row r="133" ht="90.0" customHeight="1"/>
    <row r="134" ht="90.0" customHeight="1"/>
    <row r="135" ht="90.0" customHeight="1"/>
    <row r="136" ht="90.0" customHeight="1"/>
    <row r="137" ht="90.0" customHeight="1"/>
    <row r="138" ht="90.0" customHeight="1"/>
    <row r="139" ht="90.0" customHeight="1"/>
    <row r="140" ht="90.0" customHeight="1"/>
    <row r="141" ht="90.0" customHeight="1"/>
    <row r="142" ht="90.0" customHeight="1"/>
    <row r="143" ht="90.0" customHeight="1"/>
    <row r="144" ht="90.0" customHeight="1"/>
    <row r="145" ht="90.0" customHeight="1"/>
    <row r="146" ht="90.0" customHeight="1"/>
    <row r="147" ht="90.0" customHeight="1"/>
    <row r="148" ht="90.0" customHeight="1"/>
    <row r="149" ht="90.0" customHeight="1"/>
    <row r="150" ht="90.0" customHeight="1"/>
    <row r="151" ht="90.0" customHeight="1"/>
    <row r="152" ht="90.0" customHeight="1"/>
    <row r="153" ht="90.0" customHeight="1"/>
    <row r="154" ht="90.0" customHeight="1"/>
    <row r="155" ht="90.0" customHeight="1"/>
    <row r="156" ht="90.0" customHeight="1"/>
    <row r="157" ht="90.0" customHeight="1"/>
    <row r="158" ht="90.0" customHeight="1"/>
    <row r="159" ht="90.0" customHeight="1"/>
    <row r="160" ht="90.0" customHeight="1"/>
    <row r="161" ht="90.0" customHeight="1"/>
    <row r="162" ht="90.0" customHeight="1"/>
    <row r="163" ht="90.0" customHeight="1"/>
    <row r="164" ht="90.0" customHeight="1"/>
    <row r="165" ht="90.0" customHeight="1"/>
    <row r="166" ht="90.0" customHeight="1"/>
    <row r="167" ht="90.0" customHeight="1"/>
    <row r="168" ht="90.0" customHeight="1"/>
    <row r="169" ht="90.0" customHeight="1"/>
    <row r="170" ht="90.0" customHeight="1"/>
    <row r="171" ht="90.0" customHeight="1"/>
    <row r="172" ht="90.0" customHeight="1"/>
    <row r="173" ht="90.0" customHeight="1"/>
    <row r="174" ht="90.0" customHeight="1"/>
    <row r="175" ht="90.0" customHeight="1"/>
    <row r="176" ht="90.0" customHeight="1"/>
    <row r="177" ht="90.0" customHeight="1"/>
    <row r="178" ht="90.0" customHeight="1"/>
    <row r="179" ht="90.0" customHeight="1"/>
    <row r="180" ht="90.0" customHeight="1"/>
    <row r="181" ht="90.0" customHeight="1"/>
    <row r="182" ht="90.0" customHeight="1"/>
    <row r="183" ht="90.0" customHeight="1"/>
    <row r="184" ht="90.0" customHeight="1"/>
    <row r="185" ht="90.0" customHeight="1"/>
    <row r="186" ht="90.0" customHeight="1"/>
    <row r="187" ht="90.0" customHeight="1"/>
    <row r="188" ht="90.0" customHeight="1"/>
    <row r="189" ht="90.0" customHeight="1"/>
    <row r="190" ht="90.0" customHeight="1"/>
    <row r="191" ht="90.0" customHeight="1"/>
    <row r="192" ht="90.0" customHeight="1"/>
    <row r="193" ht="90.0" customHeight="1"/>
    <row r="194" ht="90.0" customHeight="1"/>
    <row r="195" ht="90.0" customHeight="1"/>
    <row r="196" ht="90.0" customHeight="1"/>
    <row r="197" ht="90.0" customHeight="1"/>
    <row r="198" ht="90.0" customHeight="1"/>
    <row r="199" ht="90.0" customHeight="1"/>
    <row r="200" ht="90.0" customHeight="1"/>
    <row r="201" ht="90.0" customHeight="1"/>
    <row r="202" ht="90.0" customHeight="1"/>
    <row r="203" ht="90.0" customHeight="1"/>
    <row r="204" ht="90.0" customHeight="1"/>
    <row r="205" ht="90.0" customHeight="1"/>
    <row r="206" ht="90.0" customHeight="1"/>
    <row r="207" ht="90.0" customHeight="1"/>
    <row r="208" ht="90.0" customHeight="1"/>
    <row r="209" ht="90.0" customHeight="1"/>
    <row r="210" ht="90.0" customHeight="1"/>
    <row r="211" ht="90.0" customHeight="1"/>
    <row r="212" ht="90.0" customHeight="1"/>
    <row r="213" ht="90.0" customHeight="1"/>
    <row r="214" ht="90.0" customHeight="1"/>
    <row r="215" ht="90.0" customHeight="1"/>
    <row r="216" ht="90.0" customHeight="1"/>
    <row r="217" ht="90.0" customHeight="1"/>
    <row r="218" ht="90.0" customHeight="1"/>
    <row r="219" ht="90.0" customHeight="1"/>
    <row r="220" ht="90.0" customHeight="1"/>
    <row r="221" ht="90.0" customHeight="1"/>
    <row r="222" ht="90.0" customHeight="1"/>
    <row r="223" ht="90.0" customHeight="1"/>
    <row r="224" ht="90.0" customHeight="1"/>
    <row r="225" ht="90.0" customHeight="1"/>
    <row r="226" ht="90.0" customHeight="1"/>
    <row r="227" ht="90.0" customHeight="1"/>
    <row r="228" ht="90.0" customHeight="1"/>
    <row r="229" ht="90.0" customHeight="1"/>
    <row r="230" ht="90.0" customHeight="1"/>
    <row r="231" ht="90.0" customHeight="1"/>
    <row r="232" ht="90.0" customHeight="1"/>
    <row r="233" ht="90.0" customHeight="1"/>
    <row r="234" ht="90.0" customHeight="1"/>
    <row r="235" ht="90.0" customHeight="1"/>
    <row r="236" ht="90.0" customHeight="1"/>
    <row r="237" ht="90.0" customHeight="1"/>
    <row r="238" ht="90.0" customHeight="1"/>
    <row r="239" ht="90.0" customHeight="1"/>
    <row r="240" ht="90.0" customHeight="1"/>
    <row r="241" ht="90.0" customHeight="1"/>
    <row r="242" ht="90.0" customHeight="1"/>
    <row r="243" ht="90.0" customHeight="1"/>
    <row r="244" ht="90.0" customHeight="1"/>
    <row r="245" ht="90.0" customHeight="1"/>
    <row r="246" ht="90.0" customHeight="1"/>
    <row r="247" ht="90.0" customHeight="1"/>
    <row r="248" ht="90.0" customHeight="1"/>
    <row r="249" ht="90.0" customHeight="1"/>
    <row r="250" ht="90.0" customHeight="1"/>
    <row r="251" ht="90.0" customHeight="1"/>
    <row r="252" ht="90.0" customHeight="1"/>
    <row r="253" ht="90.0" customHeight="1"/>
    <row r="254" ht="90.0" customHeight="1"/>
    <row r="255" ht="90.0" customHeight="1"/>
    <row r="256" ht="90.0" customHeight="1"/>
    <row r="257" ht="90.0" customHeight="1"/>
    <row r="258" ht="90.0" customHeight="1"/>
    <row r="259" ht="90.0" customHeight="1"/>
    <row r="260" ht="90.0" customHeight="1"/>
    <row r="261" ht="90.0" customHeight="1"/>
    <row r="262" ht="90.0" customHeight="1"/>
    <row r="263" ht="90.0" customHeight="1"/>
    <row r="264" ht="90.0" customHeight="1"/>
    <row r="265" ht="90.0" customHeight="1"/>
    <row r="266" ht="90.0" customHeight="1"/>
    <row r="267" ht="90.0" customHeight="1"/>
    <row r="268" ht="90.0" customHeight="1"/>
    <row r="269" ht="90.0" customHeight="1"/>
    <row r="270" ht="90.0" customHeight="1"/>
    <row r="271" ht="90.0" customHeight="1"/>
    <row r="272" ht="90.0" customHeight="1"/>
    <row r="273" ht="90.0" customHeight="1"/>
    <row r="274" ht="90.0" customHeight="1"/>
    <row r="275" ht="90.0" customHeight="1"/>
    <row r="276" ht="90.0" customHeight="1"/>
    <row r="277" ht="90.0" customHeight="1"/>
    <row r="278" ht="90.0" customHeight="1"/>
    <row r="279" ht="90.0" customHeight="1"/>
    <row r="280" ht="90.0" customHeight="1"/>
    <row r="281" ht="90.0" customHeight="1"/>
    <row r="282" ht="90.0" customHeight="1"/>
    <row r="283" ht="90.0" customHeight="1"/>
    <row r="284" ht="90.0" customHeight="1"/>
    <row r="285" ht="90.0" customHeight="1"/>
    <row r="286" ht="90.0" customHeight="1"/>
    <row r="287" ht="90.0" customHeight="1"/>
    <row r="288" ht="90.0" customHeight="1"/>
    <row r="289" ht="90.0" customHeight="1"/>
    <row r="290" ht="90.0" customHeight="1"/>
    <row r="291" ht="90.0" customHeight="1"/>
    <row r="292" ht="90.0" customHeight="1"/>
    <row r="293" ht="90.0" customHeight="1"/>
    <row r="294" ht="90.0" customHeight="1"/>
    <row r="295" ht="90.0" customHeight="1"/>
    <row r="296" ht="90.0" customHeight="1"/>
    <row r="297" ht="90.0" customHeight="1"/>
    <row r="298" ht="90.0" customHeight="1"/>
    <row r="299" ht="90.0" customHeight="1"/>
    <row r="300" ht="90.0" customHeight="1"/>
    <row r="301" ht="90.0" customHeight="1"/>
    <row r="302" ht="90.0" customHeight="1"/>
    <row r="303" ht="90.0" customHeight="1"/>
    <row r="304" ht="90.0" customHeight="1"/>
    <row r="305" ht="90.0" customHeight="1"/>
    <row r="306" ht="90.0" customHeight="1"/>
    <row r="307" ht="90.0" customHeight="1"/>
    <row r="308" ht="90.0" customHeight="1"/>
    <row r="309" ht="90.0" customHeight="1"/>
    <row r="310" ht="90.0" customHeight="1"/>
    <row r="311" ht="90.0" customHeight="1"/>
    <row r="312" ht="90.0" customHeight="1"/>
    <row r="313" ht="90.0" customHeight="1"/>
    <row r="314" ht="90.0" customHeight="1"/>
    <row r="315" ht="90.0" customHeight="1"/>
    <row r="316" ht="90.0" customHeight="1"/>
    <row r="317" ht="90.0" customHeight="1"/>
    <row r="318" ht="90.0" customHeight="1"/>
    <row r="319" ht="90.0" customHeight="1"/>
    <row r="320" ht="90.0" customHeight="1"/>
    <row r="321" ht="90.0" customHeight="1"/>
    <row r="322" ht="90.0" customHeight="1"/>
    <row r="323" ht="90.0" customHeight="1"/>
    <row r="324" ht="90.0" customHeight="1"/>
    <row r="325" ht="90.0" customHeight="1"/>
    <row r="326" ht="90.0" customHeight="1"/>
    <row r="327" ht="90.0" customHeight="1"/>
    <row r="328" ht="90.0" customHeight="1"/>
    <row r="329" ht="90.0" customHeight="1"/>
    <row r="330" ht="90.0" customHeight="1"/>
    <row r="331" ht="90.0" customHeight="1"/>
    <row r="332" ht="90.0" customHeight="1"/>
    <row r="333" ht="90.0" customHeight="1"/>
    <row r="334" ht="90.0" customHeight="1"/>
    <row r="335" ht="90.0" customHeight="1"/>
    <row r="336" ht="90.0" customHeight="1"/>
    <row r="337" ht="90.0" customHeight="1"/>
    <row r="338" ht="90.0" customHeight="1"/>
    <row r="339" ht="90.0" customHeight="1"/>
    <row r="340" ht="90.0" customHeight="1"/>
    <row r="341" ht="90.0" customHeight="1"/>
    <row r="342" ht="90.0" customHeight="1"/>
    <row r="343" ht="90.0" customHeight="1"/>
    <row r="344" ht="90.0" customHeight="1"/>
    <row r="345" ht="90.0" customHeight="1"/>
    <row r="346" ht="90.0" customHeight="1"/>
    <row r="347" ht="90.0" customHeight="1"/>
    <row r="348" ht="90.0" customHeight="1"/>
    <row r="349" ht="90.0" customHeight="1"/>
    <row r="350" ht="90.0" customHeight="1"/>
    <row r="351" ht="90.0" customHeight="1"/>
    <row r="352" ht="90.0" customHeight="1"/>
    <row r="353" ht="90.0" customHeight="1"/>
    <row r="354" ht="90.0" customHeight="1"/>
    <row r="355" ht="90.0" customHeight="1"/>
    <row r="356" ht="90.0" customHeight="1"/>
    <row r="357" ht="90.0" customHeight="1"/>
    <row r="358" ht="90.0" customHeight="1"/>
    <row r="359" ht="90.0" customHeight="1"/>
    <row r="360" ht="90.0" customHeight="1"/>
    <row r="361" ht="90.0" customHeight="1"/>
    <row r="362" ht="90.0" customHeight="1"/>
    <row r="363" ht="90.0" customHeight="1"/>
    <row r="364" ht="90.0" customHeight="1"/>
    <row r="365" ht="90.0" customHeight="1"/>
    <row r="366" ht="90.0" customHeight="1"/>
    <row r="367" ht="90.0" customHeight="1"/>
    <row r="368" ht="90.0" customHeight="1"/>
    <row r="369" ht="90.0" customHeight="1"/>
    <row r="370" ht="90.0" customHeight="1"/>
    <row r="371" ht="90.0" customHeight="1"/>
    <row r="372" ht="90.0" customHeight="1"/>
    <row r="373" ht="90.0" customHeight="1"/>
    <row r="374" ht="90.0" customHeight="1"/>
    <row r="375" ht="90.0" customHeight="1"/>
    <row r="376" ht="90.0" customHeight="1"/>
    <row r="377" ht="90.0" customHeight="1"/>
    <row r="378" ht="90.0" customHeight="1"/>
    <row r="379" ht="90.0" customHeight="1"/>
    <row r="380" ht="90.0" customHeight="1"/>
    <row r="381" ht="90.0" customHeight="1"/>
    <row r="382" ht="90.0" customHeight="1"/>
    <row r="383" ht="90.0" customHeight="1"/>
    <row r="384" ht="90.0" customHeight="1"/>
    <row r="385" ht="90.0" customHeight="1"/>
    <row r="386" ht="90.0" customHeight="1"/>
    <row r="387" ht="90.0" customHeight="1"/>
    <row r="388" ht="90.0" customHeight="1"/>
    <row r="389" ht="90.0" customHeight="1"/>
    <row r="390" ht="90.0" customHeight="1"/>
    <row r="391" ht="90.0" customHeight="1"/>
    <row r="392" ht="90.0" customHeight="1"/>
    <row r="393" ht="90.0" customHeight="1"/>
    <row r="394" ht="90.0" customHeight="1"/>
    <row r="395" ht="90.0" customHeight="1"/>
    <row r="396" ht="90.0" customHeight="1"/>
    <row r="397" ht="90.0" customHeight="1"/>
    <row r="398" ht="90.0" customHeight="1"/>
    <row r="399" ht="90.0" customHeight="1"/>
    <row r="400" ht="90.0" customHeight="1"/>
    <row r="401" ht="90.0" customHeight="1"/>
    <row r="402" ht="90.0" customHeight="1"/>
    <row r="403" ht="90.0" customHeight="1"/>
    <row r="404" ht="90.0" customHeight="1"/>
    <row r="405" ht="90.0" customHeight="1"/>
    <row r="406" ht="90.0" customHeight="1"/>
    <row r="407" ht="90.0" customHeight="1"/>
    <row r="408" ht="90.0" customHeight="1"/>
    <row r="409" ht="90.0" customHeight="1"/>
    <row r="410" ht="90.0" customHeight="1"/>
    <row r="411" ht="90.0" customHeight="1"/>
    <row r="412" ht="90.0" customHeight="1"/>
    <row r="413" ht="90.0" customHeight="1"/>
    <row r="414" ht="90.0" customHeight="1"/>
    <row r="415" ht="90.0" customHeight="1"/>
    <row r="416" ht="90.0" customHeight="1"/>
    <row r="417" ht="90.0" customHeight="1"/>
    <row r="418" ht="90.0" customHeight="1"/>
    <row r="419" ht="90.0" customHeight="1"/>
    <row r="420" ht="90.0" customHeight="1"/>
    <row r="421" ht="90.0" customHeight="1"/>
    <row r="422" ht="90.0" customHeight="1"/>
    <row r="423" ht="90.0" customHeight="1"/>
    <row r="424" ht="90.0" customHeight="1"/>
    <row r="425" ht="90.0" customHeight="1"/>
    <row r="426" ht="90.0" customHeight="1"/>
    <row r="427" ht="90.0" customHeight="1"/>
    <row r="428" ht="90.0" customHeight="1"/>
    <row r="429" ht="90.0" customHeight="1"/>
    <row r="430" ht="90.0" customHeight="1"/>
    <row r="431" ht="90.0" customHeight="1"/>
    <row r="432" ht="90.0" customHeight="1"/>
    <row r="433" ht="90.0" customHeight="1"/>
    <row r="434" ht="90.0" customHeight="1"/>
    <row r="435" ht="90.0" customHeight="1"/>
    <row r="436" ht="90.0" customHeight="1"/>
    <row r="437" ht="90.0" customHeight="1"/>
    <row r="438" ht="90.0" customHeight="1"/>
    <row r="439" ht="90.0" customHeight="1"/>
    <row r="440" ht="90.0" customHeight="1"/>
    <row r="441" ht="90.0" customHeight="1"/>
    <row r="442" ht="90.0" customHeight="1"/>
    <row r="443" ht="90.0" customHeight="1"/>
    <row r="444" ht="90.0" customHeight="1"/>
    <row r="445" ht="90.0" customHeight="1"/>
    <row r="446" ht="90.0" customHeight="1"/>
    <row r="447" ht="90.0" customHeight="1"/>
    <row r="448" ht="90.0" customHeight="1"/>
    <row r="449" ht="90.0" customHeight="1"/>
    <row r="450" ht="90.0" customHeight="1"/>
    <row r="451" ht="90.0" customHeight="1"/>
    <row r="452" ht="90.0" customHeight="1"/>
    <row r="453" ht="90.0" customHeight="1"/>
    <row r="454" ht="90.0" customHeight="1"/>
    <row r="455" ht="90.0" customHeight="1"/>
    <row r="456" ht="90.0" customHeight="1"/>
    <row r="457" ht="90.0" customHeight="1"/>
    <row r="458" ht="90.0" customHeight="1"/>
    <row r="459" ht="90.0" customHeight="1"/>
    <row r="460" ht="90.0" customHeight="1"/>
    <row r="461" ht="90.0" customHeight="1"/>
    <row r="462" ht="90.0" customHeight="1"/>
    <row r="463" ht="90.0" customHeight="1"/>
    <row r="464" ht="90.0" customHeight="1"/>
    <row r="465" ht="90.0" customHeight="1"/>
    <row r="466" ht="90.0" customHeight="1"/>
    <row r="467" ht="90.0" customHeight="1"/>
    <row r="468" ht="90.0" customHeight="1"/>
    <row r="469" ht="90.0" customHeight="1"/>
    <row r="470" ht="90.0" customHeight="1"/>
    <row r="471" ht="90.0" customHeight="1"/>
    <row r="472" ht="90.0" customHeight="1"/>
    <row r="473" ht="90.0" customHeight="1"/>
    <row r="474" ht="90.0" customHeight="1"/>
    <row r="475" ht="90.0" customHeight="1"/>
    <row r="476" ht="90.0" customHeight="1"/>
    <row r="477" ht="90.0" customHeight="1"/>
    <row r="478" ht="90.0" customHeight="1"/>
    <row r="479" ht="90.0" customHeight="1"/>
    <row r="480" ht="90.0" customHeight="1"/>
    <row r="481" ht="90.0" customHeight="1"/>
    <row r="482" ht="90.0" customHeight="1"/>
    <row r="483" ht="90.0" customHeight="1"/>
    <row r="484" ht="90.0" customHeight="1"/>
    <row r="485" ht="90.0" customHeight="1"/>
    <row r="486" ht="90.0" customHeight="1"/>
    <row r="487" ht="90.0" customHeight="1"/>
    <row r="488" ht="90.0" customHeight="1"/>
    <row r="489" ht="90.0" customHeight="1"/>
    <row r="490" ht="90.0" customHeight="1"/>
    <row r="491" ht="90.0" customHeight="1"/>
    <row r="492" ht="90.0" customHeight="1"/>
    <row r="493" ht="90.0" customHeight="1"/>
    <row r="494" ht="90.0" customHeight="1"/>
    <row r="495" ht="90.0" customHeight="1"/>
    <row r="496" ht="90.0" customHeight="1"/>
    <row r="497" ht="90.0" customHeight="1"/>
    <row r="498" ht="90.0" customHeight="1"/>
    <row r="499" ht="90.0" customHeight="1"/>
    <row r="500" ht="90.0" customHeight="1"/>
    <row r="501" ht="90.0" customHeight="1"/>
    <row r="502" ht="90.0" customHeight="1"/>
    <row r="503" ht="90.0" customHeight="1"/>
    <row r="504" ht="90.0" customHeight="1"/>
    <row r="505" ht="90.0" customHeight="1"/>
    <row r="506" ht="90.0" customHeight="1"/>
    <row r="507" ht="90.0" customHeight="1"/>
    <row r="508" ht="90.0" customHeight="1"/>
    <row r="509" ht="90.0" customHeight="1"/>
    <row r="510" ht="90.0" customHeight="1"/>
    <row r="511" ht="90.0" customHeight="1"/>
    <row r="512" ht="90.0" customHeight="1"/>
    <row r="513" ht="90.0" customHeight="1"/>
    <row r="514" ht="90.0" customHeight="1"/>
    <row r="515" ht="90.0" customHeight="1"/>
    <row r="516" ht="90.0" customHeight="1"/>
    <row r="517" ht="90.0" customHeight="1"/>
    <row r="518" ht="90.0" customHeight="1"/>
    <row r="519" ht="90.0" customHeight="1"/>
    <row r="520" ht="90.0" customHeight="1"/>
    <row r="521" ht="90.0" customHeight="1"/>
    <row r="522" ht="90.0" customHeight="1"/>
    <row r="523" ht="90.0" customHeight="1"/>
    <row r="524" ht="90.0" customHeight="1"/>
    <row r="525" ht="90.0" customHeight="1"/>
    <row r="526" ht="90.0" customHeight="1"/>
    <row r="527" ht="90.0" customHeight="1"/>
    <row r="528" ht="90.0" customHeight="1"/>
    <row r="529" ht="90.0" customHeight="1"/>
    <row r="530" ht="90.0" customHeight="1"/>
    <row r="531" ht="90.0" customHeight="1"/>
    <row r="532" ht="90.0" customHeight="1"/>
    <row r="533" ht="90.0" customHeight="1"/>
    <row r="534" ht="90.0" customHeight="1"/>
    <row r="535" ht="90.0" customHeight="1"/>
    <row r="536" ht="90.0" customHeight="1"/>
    <row r="537" ht="90.0" customHeight="1"/>
    <row r="538" ht="90.0" customHeight="1"/>
    <row r="539" ht="90.0" customHeight="1"/>
    <row r="540" ht="90.0" customHeight="1"/>
    <row r="541" ht="90.0" customHeight="1"/>
    <row r="542" ht="90.0" customHeight="1"/>
    <row r="543" ht="90.0" customHeight="1"/>
    <row r="544" ht="90.0" customHeight="1"/>
    <row r="545" ht="90.0" customHeight="1"/>
    <row r="546" ht="90.0" customHeight="1"/>
    <row r="547" ht="90.0" customHeight="1"/>
    <row r="548" ht="90.0" customHeight="1"/>
    <row r="549" ht="90.0" customHeight="1"/>
    <row r="550" ht="90.0" customHeight="1"/>
    <row r="551" ht="90.0" customHeight="1"/>
    <row r="552" ht="90.0" customHeight="1"/>
    <row r="553" ht="90.0" customHeight="1"/>
    <row r="554" ht="90.0" customHeight="1"/>
    <row r="555" ht="90.0" customHeight="1"/>
    <row r="556" ht="90.0" customHeight="1"/>
    <row r="557" ht="90.0" customHeight="1"/>
    <row r="558" ht="90.0" customHeight="1"/>
    <row r="559" ht="90.0" customHeight="1"/>
    <row r="560" ht="90.0" customHeight="1"/>
    <row r="561" ht="90.0" customHeight="1"/>
    <row r="562" ht="90.0" customHeight="1"/>
    <row r="563" ht="90.0" customHeight="1"/>
    <row r="564" ht="90.0" customHeight="1"/>
    <row r="565" ht="90.0" customHeight="1"/>
    <row r="566" ht="90.0" customHeight="1"/>
    <row r="567" ht="90.0" customHeight="1"/>
    <row r="568" ht="90.0" customHeight="1"/>
    <row r="569" ht="90.0" customHeight="1"/>
    <row r="570" ht="90.0" customHeight="1"/>
    <row r="571" ht="90.0" customHeight="1"/>
    <row r="572" ht="90.0" customHeight="1"/>
    <row r="573" ht="90.0" customHeight="1"/>
    <row r="574" ht="90.0" customHeight="1"/>
    <row r="575" ht="90.0" customHeight="1"/>
    <row r="576" ht="90.0" customHeight="1"/>
    <row r="577" ht="90.0" customHeight="1"/>
    <row r="578" ht="90.0" customHeight="1"/>
    <row r="579" ht="90.0" customHeight="1"/>
    <row r="580" ht="90.0" customHeight="1"/>
    <row r="581" ht="90.0" customHeight="1"/>
    <row r="582" ht="90.0" customHeight="1"/>
    <row r="583" ht="90.0" customHeight="1"/>
    <row r="584" ht="90.0" customHeight="1"/>
    <row r="585" ht="90.0" customHeight="1"/>
    <row r="586" ht="90.0" customHeight="1"/>
    <row r="587" ht="90.0" customHeight="1"/>
    <row r="588" ht="90.0" customHeight="1"/>
    <row r="589" ht="90.0" customHeight="1"/>
    <row r="590" ht="90.0" customHeight="1"/>
    <row r="591" ht="90.0" customHeight="1"/>
    <row r="592" ht="90.0" customHeight="1"/>
    <row r="593" ht="90.0" customHeight="1"/>
    <row r="594" ht="90.0" customHeight="1"/>
    <row r="595" ht="90.0" customHeight="1"/>
    <row r="596" ht="90.0" customHeight="1"/>
    <row r="597" ht="90.0" customHeight="1"/>
    <row r="598" ht="90.0" customHeight="1"/>
    <row r="599" ht="90.0" customHeight="1"/>
    <row r="600" ht="90.0" customHeight="1"/>
    <row r="601" ht="90.0" customHeight="1"/>
    <row r="602" ht="90.0" customHeight="1"/>
    <row r="603" ht="90.0" customHeight="1"/>
    <row r="604" ht="90.0" customHeight="1"/>
    <row r="605" ht="90.0" customHeight="1"/>
    <row r="606" ht="90.0" customHeight="1"/>
    <row r="607" ht="90.0" customHeight="1"/>
    <row r="608" ht="90.0" customHeight="1"/>
    <row r="609" ht="90.0" customHeight="1"/>
    <row r="610" ht="90.0" customHeight="1"/>
    <row r="611" ht="90.0" customHeight="1"/>
    <row r="612" ht="90.0" customHeight="1"/>
    <row r="613" ht="90.0" customHeight="1"/>
    <row r="614" ht="90.0" customHeight="1"/>
    <row r="615" ht="90.0" customHeight="1"/>
    <row r="616" ht="90.0" customHeight="1"/>
    <row r="617" ht="90.0" customHeight="1"/>
    <row r="618" ht="90.0" customHeight="1"/>
    <row r="619" ht="90.0" customHeight="1"/>
    <row r="620" ht="90.0" customHeight="1"/>
    <row r="621" ht="90.0" customHeight="1"/>
    <row r="622" ht="90.0" customHeight="1"/>
    <row r="623" ht="90.0" customHeight="1"/>
    <row r="624" ht="90.0" customHeight="1"/>
    <row r="625" ht="90.0" customHeight="1"/>
    <row r="626" ht="90.0" customHeight="1"/>
    <row r="627" ht="90.0" customHeight="1"/>
    <row r="628" ht="90.0" customHeight="1"/>
    <row r="629" ht="90.0" customHeight="1"/>
    <row r="630" ht="90.0" customHeight="1"/>
    <row r="631" ht="90.0" customHeight="1"/>
    <row r="632" ht="90.0" customHeight="1"/>
    <row r="633" ht="90.0" customHeight="1"/>
    <row r="634" ht="90.0" customHeight="1"/>
    <row r="635" ht="90.0" customHeight="1"/>
    <row r="636" ht="90.0" customHeight="1"/>
    <row r="637" ht="90.0" customHeight="1"/>
    <row r="638" ht="90.0" customHeight="1"/>
    <row r="639" ht="90.0" customHeight="1"/>
    <row r="640" ht="90.0" customHeight="1"/>
    <row r="641" ht="90.0" customHeight="1"/>
    <row r="642" ht="90.0" customHeight="1"/>
    <row r="643" ht="90.0" customHeight="1"/>
    <row r="644" ht="90.0" customHeight="1"/>
    <row r="645" ht="90.0" customHeight="1"/>
    <row r="646" ht="90.0" customHeight="1"/>
    <row r="647" ht="90.0" customHeight="1"/>
    <row r="648" ht="90.0" customHeight="1"/>
    <row r="649" ht="90.0" customHeight="1"/>
    <row r="650" ht="90.0" customHeight="1"/>
    <row r="651" ht="90.0" customHeight="1"/>
    <row r="652" ht="90.0" customHeight="1"/>
    <row r="653" ht="90.0" customHeight="1"/>
    <row r="654" ht="90.0" customHeight="1"/>
    <row r="655" ht="90.0" customHeight="1"/>
    <row r="656" ht="90.0" customHeight="1"/>
    <row r="657" ht="90.0" customHeight="1"/>
    <row r="658" ht="90.0" customHeight="1"/>
    <row r="659" ht="90.0" customHeight="1"/>
    <row r="660" ht="90.0" customHeight="1"/>
    <row r="661" ht="90.0" customHeight="1"/>
    <row r="662" ht="90.0" customHeight="1"/>
    <row r="663" ht="90.0" customHeight="1"/>
    <row r="664" ht="90.0" customHeight="1"/>
    <row r="665" ht="90.0" customHeight="1"/>
    <row r="666" ht="90.0" customHeight="1"/>
    <row r="667" ht="90.0" customHeight="1"/>
    <row r="668" ht="90.0" customHeight="1"/>
    <row r="669" ht="90.0" customHeight="1"/>
    <row r="670" ht="90.0" customHeight="1"/>
    <row r="671" ht="90.0" customHeight="1"/>
    <row r="672" ht="90.0" customHeight="1"/>
    <row r="673" ht="90.0" customHeight="1"/>
    <row r="674" ht="90.0" customHeight="1"/>
    <row r="675" ht="90.0" customHeight="1"/>
    <row r="676" ht="90.0" customHeight="1"/>
    <row r="677" ht="90.0" customHeight="1"/>
    <row r="678" ht="90.0" customHeight="1"/>
    <row r="679" ht="90.0" customHeight="1"/>
    <row r="680" ht="90.0" customHeight="1"/>
    <row r="681" ht="90.0" customHeight="1"/>
    <row r="682" ht="90.0" customHeight="1"/>
    <row r="683" ht="90.0" customHeight="1"/>
    <row r="684" ht="90.0" customHeight="1"/>
    <row r="685" ht="90.0" customHeight="1"/>
    <row r="686" ht="90.0" customHeight="1"/>
    <row r="687" ht="90.0" customHeight="1"/>
    <row r="688" ht="90.0" customHeight="1"/>
    <row r="689" ht="90.0" customHeight="1"/>
    <row r="690" ht="90.0" customHeight="1"/>
    <row r="691" ht="90.0" customHeight="1"/>
    <row r="692" ht="90.0" customHeight="1"/>
    <row r="693" ht="90.0" customHeight="1"/>
    <row r="694" ht="90.0" customHeight="1"/>
    <row r="695" ht="90.0" customHeight="1"/>
    <row r="696" ht="90.0" customHeight="1"/>
    <row r="697" ht="90.0" customHeight="1"/>
    <row r="698" ht="90.0" customHeight="1"/>
    <row r="699" ht="90.0" customHeight="1"/>
    <row r="700" ht="90.0" customHeight="1"/>
    <row r="701" ht="90.0" customHeight="1"/>
    <row r="702" ht="90.0" customHeight="1"/>
    <row r="703" ht="90.0" customHeight="1"/>
    <row r="704" ht="90.0" customHeight="1"/>
    <row r="705" ht="90.0" customHeight="1"/>
    <row r="706" ht="90.0" customHeight="1"/>
    <row r="707" ht="90.0" customHeight="1"/>
    <row r="708" ht="90.0" customHeight="1"/>
    <row r="709" ht="90.0" customHeight="1"/>
    <row r="710" ht="90.0" customHeight="1"/>
    <row r="711" ht="90.0" customHeight="1"/>
    <row r="712" ht="90.0" customHeight="1"/>
    <row r="713" ht="90.0" customHeight="1"/>
    <row r="714" ht="90.0" customHeight="1"/>
    <row r="715" ht="90.0" customHeight="1"/>
    <row r="716" ht="90.0" customHeight="1"/>
    <row r="717" ht="90.0" customHeight="1"/>
    <row r="718" ht="90.0" customHeight="1"/>
    <row r="719" ht="90.0" customHeight="1"/>
    <row r="720" ht="90.0" customHeight="1"/>
    <row r="721" ht="90.0" customHeight="1"/>
    <row r="722" ht="90.0" customHeight="1"/>
    <row r="723" ht="90.0" customHeight="1"/>
    <row r="724" ht="90.0" customHeight="1"/>
    <row r="725" ht="90.0" customHeight="1"/>
    <row r="726" ht="90.0" customHeight="1"/>
    <row r="727" ht="90.0" customHeight="1"/>
    <row r="728" ht="90.0" customHeight="1"/>
    <row r="729" ht="90.0" customHeight="1"/>
    <row r="730" ht="90.0" customHeight="1"/>
    <row r="731" ht="90.0" customHeight="1"/>
    <row r="732" ht="90.0" customHeight="1"/>
    <row r="733" ht="90.0" customHeight="1"/>
    <row r="734" ht="90.0" customHeight="1"/>
    <row r="735" ht="90.0" customHeight="1"/>
    <row r="736" ht="90.0" customHeight="1"/>
    <row r="737" ht="90.0" customHeight="1"/>
    <row r="738" ht="90.0" customHeight="1"/>
    <row r="739" ht="90.0" customHeight="1"/>
    <row r="740" ht="90.0" customHeight="1"/>
    <row r="741" ht="90.0" customHeight="1"/>
    <row r="742" ht="90.0" customHeight="1"/>
    <row r="743" ht="90.0" customHeight="1"/>
    <row r="744" ht="90.0" customHeight="1"/>
    <row r="745" ht="90.0" customHeight="1"/>
    <row r="746" ht="90.0" customHeight="1"/>
    <row r="747" ht="90.0" customHeight="1"/>
    <row r="748" ht="90.0" customHeight="1"/>
    <row r="749" ht="90.0" customHeight="1"/>
    <row r="750" ht="90.0" customHeight="1"/>
    <row r="751" ht="90.0" customHeight="1"/>
    <row r="752" ht="90.0" customHeight="1"/>
    <row r="753" ht="90.0" customHeight="1"/>
    <row r="754" ht="90.0" customHeight="1"/>
    <row r="755" ht="90.0" customHeight="1"/>
    <row r="756" ht="90.0" customHeight="1"/>
    <row r="757" ht="90.0" customHeight="1"/>
    <row r="758" ht="90.0" customHeight="1"/>
    <row r="759" ht="90.0" customHeight="1"/>
    <row r="760" ht="90.0" customHeight="1"/>
    <row r="761" ht="90.0" customHeight="1"/>
    <row r="762" ht="90.0" customHeight="1"/>
    <row r="763" ht="90.0" customHeight="1"/>
    <row r="764" ht="90.0" customHeight="1"/>
    <row r="765" ht="90.0" customHeight="1"/>
    <row r="766" ht="90.0" customHeight="1"/>
    <row r="767" ht="90.0" customHeight="1"/>
    <row r="768" ht="90.0" customHeight="1"/>
    <row r="769" ht="90.0" customHeight="1"/>
    <row r="770" ht="90.0" customHeight="1"/>
    <row r="771" ht="90.0" customHeight="1"/>
    <row r="772" ht="90.0" customHeight="1"/>
    <row r="773" ht="90.0" customHeight="1"/>
    <row r="774" ht="90.0" customHeight="1"/>
    <row r="775" ht="90.0" customHeight="1"/>
    <row r="776" ht="90.0" customHeight="1"/>
    <row r="777" ht="90.0" customHeight="1"/>
    <row r="778" ht="90.0" customHeight="1"/>
    <row r="779" ht="90.0" customHeight="1"/>
    <row r="780" ht="90.0" customHeight="1"/>
    <row r="781" ht="90.0" customHeight="1"/>
    <row r="782" ht="90.0" customHeight="1"/>
    <row r="783" ht="90.0" customHeight="1"/>
    <row r="784" ht="90.0" customHeight="1"/>
    <row r="785" ht="90.0" customHeight="1"/>
    <row r="786" ht="90.0" customHeight="1"/>
    <row r="787" ht="90.0" customHeight="1"/>
    <row r="788" ht="90.0" customHeight="1"/>
    <row r="789" ht="90.0" customHeight="1"/>
    <row r="790" ht="90.0" customHeight="1"/>
    <row r="791" ht="90.0" customHeight="1"/>
    <row r="792" ht="90.0" customHeight="1"/>
    <row r="793" ht="90.0" customHeight="1"/>
    <row r="794" ht="90.0" customHeight="1"/>
    <row r="795" ht="90.0" customHeight="1"/>
    <row r="796" ht="90.0" customHeight="1"/>
    <row r="797" ht="90.0" customHeight="1"/>
    <row r="798" ht="90.0" customHeight="1"/>
    <row r="799" ht="90.0" customHeight="1"/>
    <row r="800" ht="90.0" customHeight="1"/>
    <row r="801" ht="90.0" customHeight="1"/>
    <row r="802" ht="90.0" customHeight="1"/>
    <row r="803" ht="90.0" customHeight="1"/>
    <row r="804" ht="90.0" customHeight="1"/>
    <row r="805" ht="90.0" customHeight="1"/>
    <row r="806" ht="90.0" customHeight="1"/>
    <row r="807" ht="90.0" customHeight="1"/>
    <row r="808" ht="90.0" customHeight="1"/>
    <row r="809" ht="90.0" customHeight="1"/>
    <row r="810" ht="90.0" customHeight="1"/>
    <row r="811" ht="90.0" customHeight="1"/>
    <row r="812" ht="90.0" customHeight="1"/>
    <row r="813" ht="90.0" customHeight="1"/>
    <row r="814" ht="90.0" customHeight="1"/>
    <row r="815" ht="90.0" customHeight="1"/>
    <row r="816" ht="90.0" customHeight="1"/>
    <row r="817" ht="90.0" customHeight="1"/>
    <row r="818" ht="90.0" customHeight="1"/>
    <row r="819" ht="90.0" customHeight="1"/>
    <row r="820" ht="90.0" customHeight="1"/>
    <row r="821" ht="90.0" customHeight="1"/>
    <row r="822" ht="90.0" customHeight="1"/>
    <row r="823" ht="90.0" customHeight="1"/>
    <row r="824" ht="90.0" customHeight="1"/>
    <row r="825" ht="90.0" customHeight="1"/>
    <row r="826" ht="90.0" customHeight="1"/>
    <row r="827" ht="90.0" customHeight="1"/>
    <row r="828" ht="90.0" customHeight="1"/>
    <row r="829" ht="90.0" customHeight="1"/>
    <row r="830" ht="90.0" customHeight="1"/>
    <row r="831" ht="90.0" customHeight="1"/>
    <row r="832" ht="90.0" customHeight="1"/>
    <row r="833" ht="90.0" customHeight="1"/>
    <row r="834" ht="90.0" customHeight="1"/>
    <row r="835" ht="90.0" customHeight="1"/>
    <row r="836" ht="90.0" customHeight="1"/>
    <row r="837" ht="90.0" customHeight="1"/>
    <row r="838" ht="90.0" customHeight="1"/>
    <row r="839" ht="90.0" customHeight="1"/>
    <row r="840" ht="90.0" customHeight="1"/>
    <row r="841" ht="90.0" customHeight="1"/>
    <row r="842" ht="90.0" customHeight="1"/>
    <row r="843" ht="90.0" customHeight="1"/>
    <row r="844" ht="90.0" customHeight="1"/>
    <row r="845" ht="90.0" customHeight="1"/>
    <row r="846" ht="90.0" customHeight="1"/>
    <row r="847" ht="90.0" customHeight="1"/>
    <row r="848" ht="90.0" customHeight="1"/>
    <row r="849" ht="90.0" customHeight="1"/>
    <row r="850" ht="90.0" customHeight="1"/>
    <row r="851" ht="90.0" customHeight="1"/>
    <row r="852" ht="90.0" customHeight="1"/>
    <row r="853" ht="90.0" customHeight="1"/>
    <row r="854" ht="90.0" customHeight="1"/>
    <row r="855" ht="90.0" customHeight="1"/>
    <row r="856" ht="90.0" customHeight="1"/>
    <row r="857" ht="90.0" customHeight="1"/>
    <row r="858" ht="90.0" customHeight="1"/>
    <row r="859" ht="90.0" customHeight="1"/>
    <row r="860" ht="90.0" customHeight="1"/>
    <row r="861" ht="90.0" customHeight="1"/>
    <row r="862" ht="90.0" customHeight="1"/>
    <row r="863" ht="90.0" customHeight="1"/>
    <row r="864" ht="90.0" customHeight="1"/>
    <row r="865" ht="90.0" customHeight="1"/>
    <row r="866" ht="90.0" customHeight="1"/>
    <row r="867" ht="90.0" customHeight="1"/>
    <row r="868" ht="90.0" customHeight="1"/>
    <row r="869" ht="90.0" customHeight="1"/>
    <row r="870" ht="90.0" customHeight="1"/>
    <row r="871" ht="90.0" customHeight="1"/>
    <row r="872" ht="90.0" customHeight="1"/>
    <row r="873" ht="90.0" customHeight="1"/>
    <row r="874" ht="90.0" customHeight="1"/>
    <row r="875" ht="90.0" customHeight="1"/>
    <row r="876" ht="90.0" customHeight="1"/>
    <row r="877" ht="90.0" customHeight="1"/>
    <row r="878" ht="90.0" customHeight="1"/>
    <row r="879" ht="90.0" customHeight="1"/>
    <row r="880" ht="90.0" customHeight="1"/>
    <row r="881" ht="90.0" customHeight="1"/>
    <row r="882" ht="90.0" customHeight="1"/>
    <row r="883" ht="90.0" customHeight="1"/>
    <row r="884" ht="90.0" customHeight="1"/>
    <row r="885" ht="90.0" customHeight="1"/>
    <row r="886" ht="90.0" customHeight="1"/>
    <row r="887" ht="90.0" customHeight="1"/>
    <row r="888" ht="90.0" customHeight="1"/>
    <row r="889" ht="90.0" customHeight="1"/>
    <row r="890" ht="90.0" customHeight="1"/>
    <row r="891" ht="90.0" customHeight="1"/>
    <row r="892" ht="90.0" customHeight="1"/>
    <row r="893" ht="90.0" customHeight="1"/>
    <row r="894" ht="90.0" customHeight="1"/>
    <row r="895" ht="90.0" customHeight="1"/>
    <row r="896" ht="90.0" customHeight="1"/>
    <row r="897" ht="90.0" customHeight="1"/>
    <row r="898" ht="90.0" customHeight="1"/>
    <row r="899" ht="90.0" customHeight="1"/>
    <row r="900" ht="90.0" customHeight="1"/>
    <row r="901" ht="90.0" customHeight="1"/>
    <row r="902" ht="90.0" customHeight="1"/>
    <row r="903" ht="90.0" customHeight="1"/>
    <row r="904" ht="90.0" customHeight="1"/>
    <row r="905" ht="90.0" customHeight="1"/>
    <row r="906" ht="90.0" customHeight="1"/>
    <row r="907" ht="90.0" customHeight="1"/>
    <row r="908" ht="90.0" customHeight="1"/>
    <row r="909" ht="90.0" customHeight="1"/>
    <row r="910" ht="90.0" customHeight="1"/>
    <row r="911" ht="90.0" customHeight="1"/>
    <row r="912" ht="90.0" customHeight="1"/>
    <row r="913" ht="90.0" customHeight="1"/>
    <row r="914" ht="90.0" customHeight="1"/>
    <row r="915" ht="90.0" customHeight="1"/>
    <row r="916" ht="90.0" customHeight="1"/>
    <row r="917" ht="90.0" customHeight="1"/>
    <row r="918" ht="90.0" customHeight="1"/>
    <row r="919" ht="90.0" customHeight="1"/>
    <row r="920" ht="90.0" customHeight="1"/>
    <row r="921" ht="90.0" customHeight="1"/>
    <row r="922" ht="90.0" customHeight="1"/>
    <row r="923" ht="90.0" customHeight="1"/>
    <row r="924" ht="90.0" customHeight="1"/>
    <row r="925" ht="90.0" customHeight="1"/>
    <row r="926" ht="90.0" customHeight="1"/>
    <row r="927" ht="90.0" customHeight="1"/>
    <row r="928" ht="90.0" customHeight="1"/>
    <row r="929" ht="90.0" customHeight="1"/>
    <row r="930" ht="90.0" customHeight="1"/>
    <row r="931" ht="90.0" customHeight="1"/>
    <row r="932" ht="90.0" customHeight="1"/>
    <row r="933" ht="90.0" customHeight="1"/>
    <row r="934" ht="90.0" customHeight="1"/>
    <row r="935" ht="90.0" customHeight="1"/>
    <row r="936" ht="90.0" customHeight="1"/>
    <row r="937" ht="90.0" customHeight="1"/>
    <row r="938" ht="90.0" customHeight="1"/>
    <row r="939" ht="90.0" customHeight="1"/>
    <row r="940" ht="90.0" customHeight="1"/>
    <row r="941" ht="90.0" customHeight="1"/>
    <row r="942" ht="90.0" customHeight="1"/>
    <row r="943" ht="90.0" customHeight="1"/>
    <row r="944" ht="90.0" customHeight="1"/>
    <row r="945" ht="90.0" customHeight="1"/>
    <row r="946" ht="90.0" customHeight="1"/>
    <row r="947" ht="90.0" customHeight="1"/>
    <row r="948" ht="90.0" customHeight="1"/>
    <row r="949" ht="90.0" customHeight="1"/>
    <row r="950" ht="90.0" customHeight="1"/>
    <row r="951" ht="90.0" customHeight="1"/>
    <row r="952" ht="90.0" customHeight="1"/>
    <row r="953" ht="90.0" customHeight="1"/>
    <row r="954" ht="90.0" customHeight="1"/>
    <row r="955" ht="90.0" customHeight="1"/>
    <row r="956" ht="90.0" customHeight="1"/>
    <row r="957" ht="90.0" customHeight="1"/>
    <row r="958" ht="90.0" customHeight="1"/>
    <row r="959" ht="90.0" customHeight="1"/>
    <row r="960" ht="90.0" customHeight="1"/>
    <row r="961" ht="90.0" customHeight="1"/>
    <row r="962" ht="90.0" customHeight="1"/>
    <row r="963" ht="90.0" customHeight="1"/>
    <row r="964" ht="90.0" customHeight="1"/>
    <row r="965" ht="90.0" customHeight="1"/>
    <row r="966" ht="90.0" customHeight="1"/>
    <row r="967" ht="90.0" customHeight="1"/>
    <row r="968" ht="90.0" customHeight="1"/>
    <row r="969" ht="90.0" customHeight="1"/>
    <row r="970" ht="90.0" customHeight="1"/>
    <row r="971" ht="90.0" customHeight="1"/>
    <row r="972" ht="90.0" customHeight="1"/>
    <row r="973" ht="90.0" customHeight="1"/>
    <row r="974" ht="90.0" customHeight="1"/>
    <row r="975" ht="90.0" customHeight="1"/>
    <row r="976" ht="90.0" customHeight="1"/>
    <row r="977" ht="90.0" customHeight="1"/>
    <row r="978" ht="90.0" customHeight="1"/>
    <row r="979" ht="90.0" customHeight="1"/>
    <row r="980" ht="90.0" customHeight="1"/>
    <row r="981" ht="90.0" customHeight="1"/>
    <row r="982" ht="90.0" customHeight="1"/>
    <row r="983" ht="90.0" customHeight="1"/>
    <row r="984" ht="90.0" customHeight="1"/>
    <row r="985" ht="90.0" customHeight="1"/>
    <row r="986" ht="90.0" customHeight="1"/>
    <row r="987" ht="90.0" customHeight="1"/>
    <row r="988" ht="90.0" customHeight="1"/>
    <row r="989" ht="90.0" customHeight="1"/>
    <row r="990" ht="90.0" customHeight="1"/>
    <row r="991" ht="90.0" customHeight="1"/>
    <row r="992" ht="90.0" customHeight="1"/>
    <row r="993" ht="90.0" customHeight="1"/>
    <row r="994" ht="90.0" customHeight="1"/>
    <row r="995" ht="90.0" customHeight="1"/>
    <row r="996" ht="90.0" customHeight="1"/>
    <row r="997" ht="90.0" customHeight="1"/>
    <row r="998" ht="90.0" customHeight="1"/>
    <row r="999" ht="90.0" customHeight="1"/>
    <row r="1000" ht="90.0" customHeight="1"/>
  </sheetData>
  <hyperlinks>
    <hyperlink r:id="rId1" ref="C74"/>
    <hyperlink r:id="rId2" ref="C7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4" t="s">
        <v>39</v>
      </c>
      <c r="K1" s="24" t="s">
        <v>40</v>
      </c>
      <c r="L1" s="24" t="s">
        <v>41</v>
      </c>
      <c r="M1" s="24" t="s">
        <v>42</v>
      </c>
      <c r="N1" s="24" t="s">
        <v>43</v>
      </c>
      <c r="O1" s="24" t="s">
        <v>44</v>
      </c>
      <c r="P1" s="24" t="s">
        <v>45</v>
      </c>
      <c r="Q1" s="24" t="s">
        <v>46</v>
      </c>
      <c r="R1" s="24" t="s">
        <v>47</v>
      </c>
      <c r="S1" s="24" t="s">
        <v>48</v>
      </c>
      <c r="T1" s="24" t="s">
        <v>49</v>
      </c>
    </row>
    <row r="2" ht="90.0" customHeight="1">
      <c r="A2" s="25"/>
      <c r="B2" s="24" t="s">
        <v>118</v>
      </c>
      <c r="C2" s="24" t="s">
        <v>119</v>
      </c>
      <c r="D2" s="24">
        <v>5500000.0</v>
      </c>
      <c r="E2" s="24">
        <v>200000.0</v>
      </c>
      <c r="F2" s="24">
        <v>2500.0</v>
      </c>
      <c r="G2" s="24">
        <v>50.0</v>
      </c>
      <c r="H2" s="24">
        <f>16*F2</f>
        <v>40000</v>
      </c>
      <c r="I2" s="25">
        <f t="shared" ref="I2:I3" si="2">10*F2</f>
        <v>25000</v>
      </c>
      <c r="J2" s="25">
        <f>62*42*25/1000000*D2</f>
        <v>358050</v>
      </c>
      <c r="K2" s="25">
        <f>62*42*25/6000*E2</f>
        <v>2170000</v>
      </c>
      <c r="L2" s="24">
        <v>20000.0</v>
      </c>
      <c r="M2" s="25">
        <f t="shared" ref="M2:M19" si="3">H2+I2+J2+L2</f>
        <v>443050</v>
      </c>
      <c r="N2" s="25">
        <f t="shared" ref="N2:N11" si="4">H2+I2+K2+L2</f>
        <v>2255000</v>
      </c>
      <c r="O2" s="24">
        <f t="shared" ref="O2:P2" si="1">2*M2/100</f>
        <v>8861</v>
      </c>
      <c r="P2" s="24">
        <f t="shared" si="1"/>
        <v>45100</v>
      </c>
      <c r="Q2" s="24">
        <v>25000.0</v>
      </c>
      <c r="R2" s="25">
        <f t="shared" ref="R2:R14" si="6">M2+Q2</f>
        <v>468050</v>
      </c>
      <c r="S2" s="25">
        <f t="shared" ref="S2:S11" si="7">N2+Q2</f>
        <v>2280000</v>
      </c>
      <c r="T2" s="24" t="s">
        <v>120</v>
      </c>
    </row>
    <row r="3" ht="90.0" customHeight="1">
      <c r="A3" s="25"/>
      <c r="B3" s="24" t="s">
        <v>121</v>
      </c>
      <c r="C3" s="24" t="s">
        <v>122</v>
      </c>
      <c r="D3" s="24">
        <v>5500000.0</v>
      </c>
      <c r="E3" s="24">
        <v>200000.0</v>
      </c>
      <c r="F3" s="24">
        <v>2500.0</v>
      </c>
      <c r="G3" s="24">
        <v>300.0</v>
      </c>
      <c r="H3" s="24">
        <f>38*F3</f>
        <v>95000</v>
      </c>
      <c r="I3" s="25">
        <f t="shared" si="2"/>
        <v>25000</v>
      </c>
      <c r="J3" s="25">
        <f>62*42*10/1000000*D3</f>
        <v>143220</v>
      </c>
      <c r="K3" s="25">
        <f>62*42*10/6000*E3</f>
        <v>868000</v>
      </c>
      <c r="L3" s="24">
        <v>6000.0</v>
      </c>
      <c r="M3" s="25">
        <f t="shared" si="3"/>
        <v>269220</v>
      </c>
      <c r="N3" s="25">
        <f t="shared" si="4"/>
        <v>994000</v>
      </c>
      <c r="O3" s="24">
        <f t="shared" ref="O3:P3" si="5">2*M3/100</f>
        <v>5384.4</v>
      </c>
      <c r="P3" s="24">
        <f t="shared" si="5"/>
        <v>19880</v>
      </c>
      <c r="Q3" s="24">
        <v>25000.0</v>
      </c>
      <c r="R3" s="25">
        <f t="shared" si="6"/>
        <v>294220</v>
      </c>
      <c r="S3" s="25">
        <f t="shared" si="7"/>
        <v>1019000</v>
      </c>
      <c r="T3" s="24" t="s">
        <v>123</v>
      </c>
    </row>
    <row r="4" ht="90.0" customHeight="1">
      <c r="A4" s="25"/>
      <c r="B4" s="24" t="s">
        <v>124</v>
      </c>
      <c r="C4" s="24" t="s">
        <v>125</v>
      </c>
      <c r="D4" s="24">
        <v>5500000.0</v>
      </c>
      <c r="E4" s="24">
        <v>200000.0</v>
      </c>
      <c r="F4" s="24">
        <v>2500.0</v>
      </c>
      <c r="G4" s="24">
        <v>50.0</v>
      </c>
      <c r="H4" s="24">
        <f>60*F4</f>
        <v>150000</v>
      </c>
      <c r="J4" s="25">
        <f t="shared" ref="J4:J5" si="9">1.2*1*1.1*D4/G4</f>
        <v>145200</v>
      </c>
      <c r="K4" s="25">
        <f t="shared" ref="K4:K5" si="10">120*100*110/5000*E4/G4</f>
        <v>1056000</v>
      </c>
      <c r="L4" s="24">
        <v>6000.0</v>
      </c>
      <c r="M4" s="25">
        <f t="shared" si="3"/>
        <v>301200</v>
      </c>
      <c r="N4" s="25">
        <f t="shared" si="4"/>
        <v>1212000</v>
      </c>
      <c r="O4" s="24">
        <f t="shared" ref="O4:P4" si="8">2*M4/100</f>
        <v>6024</v>
      </c>
      <c r="P4" s="24">
        <f t="shared" si="8"/>
        <v>24240</v>
      </c>
      <c r="Q4" s="24">
        <v>25000.0</v>
      </c>
      <c r="R4" s="25">
        <f t="shared" si="6"/>
        <v>326200</v>
      </c>
      <c r="S4" s="25">
        <f t="shared" si="7"/>
        <v>1237000</v>
      </c>
      <c r="T4" s="24" t="s">
        <v>126</v>
      </c>
    </row>
    <row r="5" ht="90.0" customHeight="1">
      <c r="A5" s="25"/>
      <c r="B5" s="24" t="s">
        <v>124</v>
      </c>
      <c r="C5" s="24" t="s">
        <v>125</v>
      </c>
      <c r="D5" s="24">
        <v>5500000.0</v>
      </c>
      <c r="E5" s="24">
        <v>200000.0</v>
      </c>
      <c r="F5" s="24">
        <v>2500.0</v>
      </c>
      <c r="G5" s="24">
        <v>50.0</v>
      </c>
      <c r="H5" s="24">
        <f>76*F5</f>
        <v>190000</v>
      </c>
      <c r="J5" s="25">
        <f t="shared" si="9"/>
        <v>145200</v>
      </c>
      <c r="K5" s="25">
        <f t="shared" si="10"/>
        <v>1056000</v>
      </c>
      <c r="L5" s="24">
        <v>10000.0</v>
      </c>
      <c r="M5" s="25">
        <f t="shared" si="3"/>
        <v>345200</v>
      </c>
      <c r="N5" s="25">
        <f t="shared" si="4"/>
        <v>1256000</v>
      </c>
      <c r="O5" s="24">
        <f t="shared" ref="O5:P5" si="11">2*M5/100</f>
        <v>6904</v>
      </c>
      <c r="P5" s="24">
        <f t="shared" si="11"/>
        <v>25120</v>
      </c>
      <c r="Q5" s="24">
        <v>25000.0</v>
      </c>
      <c r="R5" s="25">
        <f t="shared" si="6"/>
        <v>370200</v>
      </c>
      <c r="S5" s="25">
        <f t="shared" si="7"/>
        <v>1281000</v>
      </c>
      <c r="T5" s="24" t="s">
        <v>127</v>
      </c>
    </row>
    <row r="6" ht="90.0" customHeight="1">
      <c r="A6" s="31"/>
      <c r="B6" s="24" t="s">
        <v>128</v>
      </c>
      <c r="C6" s="32" t="s">
        <v>129</v>
      </c>
      <c r="D6" s="24">
        <v>5500000.0</v>
      </c>
      <c r="E6" s="24">
        <v>230000.0</v>
      </c>
      <c r="F6" s="24">
        <v>2500.0</v>
      </c>
      <c r="G6" s="24">
        <v>300.0</v>
      </c>
      <c r="H6" s="24">
        <f>8.78*F6</f>
        <v>21950</v>
      </c>
      <c r="I6" s="25">
        <f t="shared" ref="I6:I11" si="13">1*F6</f>
        <v>2500</v>
      </c>
      <c r="J6" s="24">
        <f>0.4*D6/G6</f>
        <v>7333.333333</v>
      </c>
      <c r="L6" s="24">
        <v>5000.0</v>
      </c>
      <c r="M6" s="25">
        <f t="shared" si="3"/>
        <v>36783.33333</v>
      </c>
      <c r="N6" s="25">
        <f t="shared" si="4"/>
        <v>29450</v>
      </c>
      <c r="O6" s="24">
        <f t="shared" ref="O6:P6" si="12">2*M6/100</f>
        <v>735.6666667</v>
      </c>
      <c r="P6" s="24">
        <f t="shared" si="12"/>
        <v>589</v>
      </c>
      <c r="Q6" s="24">
        <v>10000.0</v>
      </c>
      <c r="R6" s="25">
        <f t="shared" si="6"/>
        <v>46783.33333</v>
      </c>
      <c r="S6" s="25">
        <f t="shared" si="7"/>
        <v>39450</v>
      </c>
      <c r="T6" s="24" t="s">
        <v>130</v>
      </c>
    </row>
    <row r="7" ht="90.0" customHeight="1">
      <c r="A7" s="31"/>
      <c r="B7" s="24" t="s">
        <v>128</v>
      </c>
      <c r="C7" s="32" t="s">
        <v>129</v>
      </c>
      <c r="D7" s="24">
        <v>5500000.0</v>
      </c>
      <c r="E7" s="24">
        <v>230000.0</v>
      </c>
      <c r="F7" s="24">
        <v>2500.0</v>
      </c>
      <c r="G7" s="24">
        <v>300.0</v>
      </c>
      <c r="H7" s="24">
        <f>17.11*F7</f>
        <v>42775</v>
      </c>
      <c r="I7" s="25">
        <f t="shared" si="13"/>
        <v>2500</v>
      </c>
      <c r="J7" s="24">
        <f>0.65*D7/G7</f>
        <v>11916.66667</v>
      </c>
      <c r="L7" s="24">
        <v>5000.0</v>
      </c>
      <c r="M7" s="25">
        <f t="shared" si="3"/>
        <v>62191.66667</v>
      </c>
      <c r="N7" s="25">
        <f t="shared" si="4"/>
        <v>50275</v>
      </c>
      <c r="O7" s="24">
        <f t="shared" ref="O7:P7" si="14">2*M7/100</f>
        <v>1243.833333</v>
      </c>
      <c r="P7" s="24">
        <f t="shared" si="14"/>
        <v>1005.5</v>
      </c>
      <c r="Q7" s="24">
        <v>10000.0</v>
      </c>
      <c r="R7" s="25">
        <f t="shared" si="6"/>
        <v>72191.66667</v>
      </c>
      <c r="S7" s="25">
        <f t="shared" si="7"/>
        <v>60275</v>
      </c>
      <c r="T7" s="24" t="s">
        <v>131</v>
      </c>
    </row>
    <row r="8" ht="90.0" customHeight="1">
      <c r="A8" s="31"/>
      <c r="B8" s="24" t="s">
        <v>128</v>
      </c>
      <c r="C8" s="32" t="s">
        <v>129</v>
      </c>
      <c r="D8" s="24">
        <v>5500000.0</v>
      </c>
      <c r="E8" s="24">
        <v>230000.0</v>
      </c>
      <c r="F8" s="24">
        <v>2500.0</v>
      </c>
      <c r="G8" s="24">
        <v>300.0</v>
      </c>
      <c r="H8" s="24">
        <f>13.89*F8</f>
        <v>34725</v>
      </c>
      <c r="I8" s="25">
        <f t="shared" si="13"/>
        <v>2500</v>
      </c>
      <c r="J8" s="24">
        <f>0.5*D8/G8</f>
        <v>9166.666667</v>
      </c>
      <c r="L8" s="24">
        <v>5000.0</v>
      </c>
      <c r="M8" s="25">
        <f t="shared" si="3"/>
        <v>51391.66667</v>
      </c>
      <c r="N8" s="25">
        <f t="shared" si="4"/>
        <v>42225</v>
      </c>
      <c r="O8" s="24">
        <f t="shared" ref="O8:P8" si="15">2*M8/100</f>
        <v>1027.833333</v>
      </c>
      <c r="P8" s="24">
        <f t="shared" si="15"/>
        <v>844.5</v>
      </c>
      <c r="Q8" s="24">
        <v>10000.0</v>
      </c>
      <c r="R8" s="25">
        <f t="shared" si="6"/>
        <v>61391.66667</v>
      </c>
      <c r="S8" s="25">
        <f t="shared" si="7"/>
        <v>52225</v>
      </c>
      <c r="T8" s="24" t="s">
        <v>132</v>
      </c>
    </row>
    <row r="9" ht="90.0" customHeight="1">
      <c r="A9" s="31"/>
      <c r="B9" s="24" t="s">
        <v>128</v>
      </c>
      <c r="C9" s="32" t="s">
        <v>129</v>
      </c>
      <c r="D9" s="24">
        <v>5500000.0</v>
      </c>
      <c r="E9" s="24">
        <v>230000.0</v>
      </c>
      <c r="F9" s="24">
        <v>2500.0</v>
      </c>
      <c r="G9" s="24">
        <v>300.0</v>
      </c>
      <c r="H9" s="24">
        <f>15.56*F9</f>
        <v>38900</v>
      </c>
      <c r="I9" s="25">
        <f t="shared" si="13"/>
        <v>2500</v>
      </c>
      <c r="J9" s="24">
        <f>0.45*D9/G9</f>
        <v>8250</v>
      </c>
      <c r="L9" s="24">
        <v>5000.0</v>
      </c>
      <c r="M9" s="25">
        <f t="shared" si="3"/>
        <v>54650</v>
      </c>
      <c r="N9" s="25">
        <f t="shared" si="4"/>
        <v>46400</v>
      </c>
      <c r="O9" s="24">
        <f t="shared" ref="O9:P9" si="16">2*M9/100</f>
        <v>1093</v>
      </c>
      <c r="P9" s="24">
        <f t="shared" si="16"/>
        <v>928</v>
      </c>
      <c r="Q9" s="24">
        <v>10000.0</v>
      </c>
      <c r="R9" s="25">
        <f t="shared" si="6"/>
        <v>64650</v>
      </c>
      <c r="S9" s="25">
        <f t="shared" si="7"/>
        <v>56400</v>
      </c>
      <c r="T9" s="24" t="s">
        <v>133</v>
      </c>
    </row>
    <row r="10" ht="90.0" customHeight="1">
      <c r="A10" s="31"/>
      <c r="B10" s="24" t="s">
        <v>128</v>
      </c>
      <c r="C10" s="32" t="s">
        <v>129</v>
      </c>
      <c r="D10" s="24">
        <v>5500000.0</v>
      </c>
      <c r="E10" s="24">
        <v>230000.0</v>
      </c>
      <c r="F10" s="24">
        <v>2500.0</v>
      </c>
      <c r="G10" s="24">
        <v>300.0</v>
      </c>
      <c r="H10" s="24">
        <f>18.89*F10</f>
        <v>47225</v>
      </c>
      <c r="I10" s="25">
        <f t="shared" si="13"/>
        <v>2500</v>
      </c>
      <c r="J10" s="24">
        <f>0.75*D10/G10</f>
        <v>13750</v>
      </c>
      <c r="L10" s="24">
        <v>5000.0</v>
      </c>
      <c r="M10" s="25">
        <f t="shared" si="3"/>
        <v>68475</v>
      </c>
      <c r="N10" s="25">
        <f t="shared" si="4"/>
        <v>54725</v>
      </c>
      <c r="O10" s="24">
        <f t="shared" ref="O10:P10" si="17">2*M10/100</f>
        <v>1369.5</v>
      </c>
      <c r="P10" s="24">
        <f t="shared" si="17"/>
        <v>1094.5</v>
      </c>
      <c r="Q10" s="24">
        <v>10000.0</v>
      </c>
      <c r="R10" s="25">
        <f t="shared" si="6"/>
        <v>78475</v>
      </c>
      <c r="S10" s="25">
        <f t="shared" si="7"/>
        <v>64725</v>
      </c>
      <c r="T10" s="24" t="s">
        <v>134</v>
      </c>
    </row>
    <row r="11" ht="90.0" customHeight="1">
      <c r="A11" s="31"/>
      <c r="B11" s="24" t="s">
        <v>128</v>
      </c>
      <c r="C11" s="32" t="s">
        <v>129</v>
      </c>
      <c r="D11" s="24">
        <v>5500000.0</v>
      </c>
      <c r="E11" s="24">
        <v>230000.0</v>
      </c>
      <c r="F11" s="24">
        <v>2500.0</v>
      </c>
      <c r="G11" s="24">
        <v>300.0</v>
      </c>
      <c r="H11" s="24">
        <f>10.6*F11</f>
        <v>26500</v>
      </c>
      <c r="I11" s="25">
        <f t="shared" si="13"/>
        <v>2500</v>
      </c>
      <c r="J11" s="24">
        <f>0.45*D11/G11</f>
        <v>8250</v>
      </c>
      <c r="L11" s="24">
        <v>5000.0</v>
      </c>
      <c r="M11" s="25">
        <f t="shared" si="3"/>
        <v>42250</v>
      </c>
      <c r="N11" s="25">
        <f t="shared" si="4"/>
        <v>34000</v>
      </c>
      <c r="O11" s="24">
        <f t="shared" ref="O11:P11" si="18">2*M11/100</f>
        <v>845</v>
      </c>
      <c r="P11" s="24">
        <f t="shared" si="18"/>
        <v>680</v>
      </c>
      <c r="Q11" s="24">
        <v>10000.0</v>
      </c>
      <c r="R11" s="25">
        <f t="shared" si="6"/>
        <v>52250</v>
      </c>
      <c r="S11" s="25">
        <f t="shared" si="7"/>
        <v>44000</v>
      </c>
      <c r="T11" s="24" t="s">
        <v>135</v>
      </c>
    </row>
    <row r="12" ht="90.0" customHeight="1">
      <c r="A12" s="25"/>
      <c r="B12" s="24" t="s">
        <v>68</v>
      </c>
      <c r="C12" s="32" t="s">
        <v>136</v>
      </c>
      <c r="D12" s="24">
        <v>5500000.0</v>
      </c>
      <c r="F12" s="24">
        <v>2600.0</v>
      </c>
      <c r="G12" s="24">
        <v>60.0</v>
      </c>
      <c r="H12" s="24">
        <f>81*F12</f>
        <v>210600</v>
      </c>
      <c r="I12" s="24">
        <f t="shared" ref="I12:I14" si="20">2*F12</f>
        <v>5200</v>
      </c>
      <c r="J12" s="25">
        <f>70*21*31*10/1000000*D12/G12</f>
        <v>41772.5</v>
      </c>
      <c r="K12" s="25">
        <f>20*E12/G12*2*2</f>
        <v>0</v>
      </c>
      <c r="L12" s="24">
        <v>24000.0</v>
      </c>
      <c r="M12" s="25">
        <f t="shared" si="3"/>
        <v>281572.5</v>
      </c>
      <c r="O12" s="24">
        <f t="shared" ref="O12:P12" si="19">2*M12/100</f>
        <v>5631.45</v>
      </c>
      <c r="P12" s="24">
        <f t="shared" si="19"/>
        <v>0</v>
      </c>
      <c r="Q12" s="24">
        <v>60000.0</v>
      </c>
      <c r="R12" s="25">
        <f t="shared" si="6"/>
        <v>341572.5</v>
      </c>
      <c r="T12" s="24" t="s">
        <v>137</v>
      </c>
    </row>
    <row r="13" ht="90.0" customHeight="1">
      <c r="A13" s="25"/>
      <c r="B13" s="24" t="s">
        <v>138</v>
      </c>
      <c r="C13" s="32" t="s">
        <v>136</v>
      </c>
      <c r="D13" s="24">
        <v>5500000.0</v>
      </c>
      <c r="F13" s="24">
        <v>2600.0</v>
      </c>
      <c r="G13" s="24">
        <v>60.0</v>
      </c>
      <c r="H13" s="24">
        <f>23*F13</f>
        <v>59800</v>
      </c>
      <c r="I13" s="24">
        <f t="shared" si="20"/>
        <v>5200</v>
      </c>
      <c r="J13" s="25">
        <f t="shared" ref="J13:J14" si="22">9*16*24*60/1000000*D13/G13</f>
        <v>19008</v>
      </c>
      <c r="K13" s="25">
        <f t="shared" ref="K13:K14" si="23">20*E13/G13*2</f>
        <v>0</v>
      </c>
      <c r="L13" s="24">
        <v>5000.0</v>
      </c>
      <c r="M13" s="25">
        <f t="shared" si="3"/>
        <v>89008</v>
      </c>
      <c r="O13" s="24">
        <f t="shared" ref="O13:P13" si="21">2*M13/100</f>
        <v>1780.16</v>
      </c>
      <c r="P13" s="24">
        <f t="shared" si="21"/>
        <v>0</v>
      </c>
      <c r="Q13" s="24">
        <v>60000.0</v>
      </c>
      <c r="R13" s="25">
        <f t="shared" si="6"/>
        <v>149008</v>
      </c>
      <c r="T13" s="24" t="s">
        <v>139</v>
      </c>
    </row>
    <row r="14" ht="90.0" customHeight="1">
      <c r="A14" s="25"/>
      <c r="B14" s="24" t="s">
        <v>140</v>
      </c>
      <c r="C14" s="32" t="s">
        <v>136</v>
      </c>
      <c r="D14" s="24">
        <v>5500000.0</v>
      </c>
      <c r="F14" s="24">
        <v>2600.0</v>
      </c>
      <c r="G14" s="24">
        <v>60.0</v>
      </c>
      <c r="H14" s="24">
        <f>10*F14</f>
        <v>26000</v>
      </c>
      <c r="I14" s="24">
        <f t="shared" si="20"/>
        <v>5200</v>
      </c>
      <c r="J14" s="25">
        <f t="shared" si="22"/>
        <v>19008</v>
      </c>
      <c r="K14" s="25">
        <f t="shared" si="23"/>
        <v>0</v>
      </c>
      <c r="L14" s="24">
        <v>5000.0</v>
      </c>
      <c r="M14" s="25">
        <f t="shared" si="3"/>
        <v>55208</v>
      </c>
      <c r="O14" s="24">
        <f t="shared" ref="O14:P14" si="24">2*M14/100</f>
        <v>1104.16</v>
      </c>
      <c r="P14" s="24">
        <f t="shared" si="24"/>
        <v>0</v>
      </c>
      <c r="Q14" s="24">
        <v>30000.0</v>
      </c>
      <c r="R14" s="25">
        <f t="shared" si="6"/>
        <v>85208</v>
      </c>
      <c r="T14" s="24" t="s">
        <v>141</v>
      </c>
    </row>
    <row r="15" ht="90.0" customHeight="1">
      <c r="A15" s="25"/>
      <c r="B15" s="24" t="s">
        <v>142</v>
      </c>
      <c r="C15" s="24" t="s">
        <v>143</v>
      </c>
      <c r="D15" s="24">
        <v>7000000.0</v>
      </c>
      <c r="F15" s="24">
        <v>2650.0</v>
      </c>
      <c r="G15" s="24">
        <v>1000.0</v>
      </c>
      <c r="H15" s="25">
        <f>5.7*F15</f>
        <v>15105</v>
      </c>
      <c r="J15" s="25">
        <f>0.1*D15/G15</f>
        <v>700</v>
      </c>
      <c r="L15" s="24">
        <v>5000.0</v>
      </c>
      <c r="M15" s="25">
        <f t="shared" si="3"/>
        <v>20805</v>
      </c>
      <c r="O15" s="24">
        <f t="shared" ref="O15:P15" si="25">2*M15/100</f>
        <v>416.1</v>
      </c>
      <c r="P15" s="24">
        <f t="shared" si="25"/>
        <v>0</v>
      </c>
      <c r="Q15" s="24">
        <v>5000.0</v>
      </c>
      <c r="R15" s="25">
        <f t="shared" ref="R15:R34" si="27">M15+O15+Q15</f>
        <v>26221.1</v>
      </c>
    </row>
    <row r="16" ht="90.0" customHeight="1">
      <c r="A16" s="25"/>
      <c r="B16" s="24" t="s">
        <v>142</v>
      </c>
      <c r="C16" s="24" t="s">
        <v>143</v>
      </c>
      <c r="D16" s="24">
        <v>7000000.0</v>
      </c>
      <c r="F16" s="24">
        <v>2650.0</v>
      </c>
      <c r="G16" s="24">
        <v>1000.0</v>
      </c>
      <c r="H16" s="25">
        <f>6*F16</f>
        <v>15900</v>
      </c>
      <c r="J16" s="25">
        <f>0.15*D16/G16</f>
        <v>1050</v>
      </c>
      <c r="L16" s="24">
        <v>5000.0</v>
      </c>
      <c r="M16" s="25">
        <f t="shared" si="3"/>
        <v>21950</v>
      </c>
      <c r="O16" s="24">
        <f t="shared" ref="O16:P16" si="26">2*M16/100</f>
        <v>439</v>
      </c>
      <c r="P16" s="24">
        <f t="shared" si="26"/>
        <v>0</v>
      </c>
      <c r="Q16" s="24">
        <v>5000.0</v>
      </c>
      <c r="R16" s="25">
        <f t="shared" si="27"/>
        <v>27389</v>
      </c>
    </row>
    <row r="17" ht="90.0" customHeight="1">
      <c r="A17" s="25"/>
      <c r="B17" s="24" t="s">
        <v>142</v>
      </c>
      <c r="C17" s="24" t="s">
        <v>143</v>
      </c>
      <c r="D17" s="24">
        <v>7000000.0</v>
      </c>
      <c r="F17" s="24">
        <v>2650.0</v>
      </c>
      <c r="G17" s="24">
        <v>1000.0</v>
      </c>
      <c r="H17" s="25">
        <f>6.4*F17</f>
        <v>16960</v>
      </c>
      <c r="J17" s="25">
        <f>0.21*D17/G17</f>
        <v>1470</v>
      </c>
      <c r="L17" s="24">
        <v>5000.0</v>
      </c>
      <c r="M17" s="25">
        <f t="shared" si="3"/>
        <v>23430</v>
      </c>
      <c r="O17" s="24">
        <f t="shared" ref="O17:P17" si="28">2*M17/100</f>
        <v>468.6</v>
      </c>
      <c r="P17" s="24">
        <f t="shared" si="28"/>
        <v>0</v>
      </c>
      <c r="Q17" s="24">
        <v>5000.0</v>
      </c>
      <c r="R17" s="25">
        <f t="shared" si="27"/>
        <v>28898.6</v>
      </c>
    </row>
    <row r="18" ht="90.0" customHeight="1">
      <c r="A18" s="25"/>
      <c r="B18" s="24" t="s">
        <v>142</v>
      </c>
      <c r="C18" s="24" t="s">
        <v>143</v>
      </c>
      <c r="D18" s="24">
        <v>7000000.0</v>
      </c>
      <c r="F18" s="24">
        <v>2650.0</v>
      </c>
      <c r="G18" s="24">
        <v>1000.0</v>
      </c>
      <c r="H18" s="25">
        <f>8*F18</f>
        <v>21200</v>
      </c>
      <c r="J18" s="25">
        <f>0.5*D18/G18</f>
        <v>3500</v>
      </c>
      <c r="L18" s="24">
        <v>5000.0</v>
      </c>
      <c r="M18" s="25">
        <f t="shared" si="3"/>
        <v>29700</v>
      </c>
      <c r="O18" s="24">
        <f t="shared" ref="O18:P18" si="29">2*M18/100</f>
        <v>594</v>
      </c>
      <c r="P18" s="24">
        <f t="shared" si="29"/>
        <v>0</v>
      </c>
      <c r="Q18" s="24">
        <v>5000.0</v>
      </c>
      <c r="R18" s="25">
        <f t="shared" si="27"/>
        <v>35294</v>
      </c>
    </row>
    <row r="19" ht="90.0" customHeight="1">
      <c r="A19" s="25"/>
      <c r="B19" s="24" t="s">
        <v>144</v>
      </c>
      <c r="C19" s="24" t="s">
        <v>145</v>
      </c>
      <c r="D19" s="24">
        <v>7000000.0</v>
      </c>
      <c r="F19" s="24">
        <v>2750.0</v>
      </c>
      <c r="G19" s="24">
        <v>700.0</v>
      </c>
      <c r="H19" s="25">
        <f t="shared" ref="H19:H20" si="31">5*F19</f>
        <v>13750</v>
      </c>
      <c r="I19" s="25">
        <f t="shared" ref="I19:I20" si="32">2.5*F19</f>
        <v>6875</v>
      </c>
      <c r="J19" s="25">
        <f>0.3*D19/G19</f>
        <v>3000</v>
      </c>
      <c r="L19" s="24">
        <v>5000.0</v>
      </c>
      <c r="M19" s="25">
        <f t="shared" si="3"/>
        <v>28625</v>
      </c>
      <c r="O19" s="24">
        <f t="shared" ref="O19:P19" si="30">2*M19/100</f>
        <v>572.5</v>
      </c>
      <c r="P19" s="24">
        <f t="shared" si="30"/>
        <v>0</v>
      </c>
      <c r="R19" s="25">
        <f t="shared" si="27"/>
        <v>29197.5</v>
      </c>
      <c r="S19" s="25">
        <f t="shared" ref="S19:S34" si="34">N19+P19+Q19</f>
        <v>0</v>
      </c>
    </row>
    <row r="20" ht="90.0" customHeight="1">
      <c r="A20" s="25"/>
      <c r="B20" s="24" t="s">
        <v>144</v>
      </c>
      <c r="C20" s="24" t="s">
        <v>145</v>
      </c>
      <c r="E20" s="24">
        <v>265000.0</v>
      </c>
      <c r="F20" s="24">
        <v>2750.0</v>
      </c>
      <c r="G20" s="24">
        <v>300.0</v>
      </c>
      <c r="H20" s="25">
        <f t="shared" si="31"/>
        <v>13750</v>
      </c>
      <c r="I20" s="25">
        <f t="shared" si="32"/>
        <v>6875</v>
      </c>
      <c r="K20" s="25">
        <f>30*E20/G20</f>
        <v>26500</v>
      </c>
      <c r="L20" s="24">
        <v>5000.0</v>
      </c>
      <c r="N20" s="25">
        <f t="shared" ref="N20:N34" si="35">H20+I20+K20+L20</f>
        <v>52125</v>
      </c>
      <c r="O20" s="24">
        <f t="shared" ref="O20:P20" si="33">2*M20/100</f>
        <v>0</v>
      </c>
      <c r="P20" s="24">
        <f t="shared" si="33"/>
        <v>1042.5</v>
      </c>
      <c r="R20" s="25">
        <f t="shared" si="27"/>
        <v>0</v>
      </c>
      <c r="S20" s="25">
        <f t="shared" si="34"/>
        <v>53167.5</v>
      </c>
    </row>
    <row r="21" ht="90.0" customHeight="1">
      <c r="A21" s="25"/>
      <c r="B21" s="24" t="s">
        <v>146</v>
      </c>
      <c r="C21" s="24" t="s">
        <v>147</v>
      </c>
      <c r="D21" s="24">
        <v>1.0E7</v>
      </c>
      <c r="E21" s="24">
        <v>265000.0</v>
      </c>
      <c r="F21" s="24">
        <v>2750.0</v>
      </c>
      <c r="G21" s="24">
        <v>5.0</v>
      </c>
      <c r="H21" s="25">
        <f>400*F21/G21</f>
        <v>220000</v>
      </c>
      <c r="I21" s="25">
        <f t="shared" ref="I21:I22" si="37">2*F21</f>
        <v>5500</v>
      </c>
      <c r="J21" s="25">
        <f>0.1*D21/G21</f>
        <v>200000</v>
      </c>
      <c r="K21" s="25">
        <f>7*E21/G21</f>
        <v>371000</v>
      </c>
      <c r="L21" s="24">
        <v>10000.0</v>
      </c>
      <c r="M21" s="25">
        <f t="shared" ref="M21:M34" si="38">H21+I21+J21+L21</f>
        <v>435500</v>
      </c>
      <c r="N21" s="25">
        <f t="shared" si="35"/>
        <v>606500</v>
      </c>
      <c r="O21" s="24">
        <f t="shared" ref="O21:P21" si="36">2*M21/100</f>
        <v>8710</v>
      </c>
      <c r="P21" s="24">
        <f t="shared" si="36"/>
        <v>12130</v>
      </c>
      <c r="Q21" s="24">
        <v>100000.0</v>
      </c>
      <c r="R21" s="25">
        <f t="shared" si="27"/>
        <v>544210</v>
      </c>
      <c r="S21" s="25">
        <f t="shared" si="34"/>
        <v>718630</v>
      </c>
      <c r="T21" s="24" t="s">
        <v>148</v>
      </c>
    </row>
    <row r="22" ht="90.0" customHeight="1">
      <c r="A22" s="25"/>
      <c r="B22" s="24" t="s">
        <v>146</v>
      </c>
      <c r="C22" s="24" t="s">
        <v>147</v>
      </c>
      <c r="D22" s="24">
        <v>1.0E7</v>
      </c>
      <c r="E22" s="24">
        <v>265000.0</v>
      </c>
      <c r="F22" s="24">
        <v>2750.0</v>
      </c>
      <c r="G22" s="24">
        <v>100.0</v>
      </c>
      <c r="H22" s="25">
        <f>25*F22</f>
        <v>68750</v>
      </c>
      <c r="I22" s="25">
        <f t="shared" si="37"/>
        <v>5500</v>
      </c>
      <c r="J22" s="25">
        <f>50*35*10*20/1000000*D22/G22</f>
        <v>35000</v>
      </c>
      <c r="K22" s="25">
        <f>7*20*E22/G22</f>
        <v>371000</v>
      </c>
      <c r="L22" s="24">
        <v>10000.0</v>
      </c>
      <c r="M22" s="25">
        <f t="shared" si="38"/>
        <v>119250</v>
      </c>
      <c r="N22" s="25">
        <f t="shared" si="35"/>
        <v>455250</v>
      </c>
      <c r="O22" s="24">
        <f t="shared" ref="O22:P22" si="39">2*M22/100</f>
        <v>2385</v>
      </c>
      <c r="P22" s="24">
        <f t="shared" si="39"/>
        <v>9105</v>
      </c>
      <c r="Q22" s="24">
        <v>100000.0</v>
      </c>
      <c r="R22" s="25">
        <f t="shared" si="27"/>
        <v>221635</v>
      </c>
      <c r="S22" s="25">
        <f t="shared" si="34"/>
        <v>564355</v>
      </c>
      <c r="T22" s="24" t="s">
        <v>149</v>
      </c>
    </row>
    <row r="23" ht="90.0" customHeight="1">
      <c r="A23" s="25"/>
      <c r="B23" s="24" t="s">
        <v>142</v>
      </c>
      <c r="C23" s="24" t="s">
        <v>143</v>
      </c>
      <c r="D23" s="24">
        <v>1.0E7</v>
      </c>
      <c r="E23" s="24">
        <v>265000.0</v>
      </c>
      <c r="F23" s="24">
        <v>2750.0</v>
      </c>
      <c r="G23" s="24">
        <v>500.0</v>
      </c>
      <c r="H23" s="25">
        <f t="shared" ref="H23:H25" si="41">5.2*F23</f>
        <v>14300</v>
      </c>
      <c r="J23" s="25">
        <f t="shared" ref="J23:J24" si="42">0.1*D23/G23</f>
        <v>2000</v>
      </c>
      <c r="K23" s="25">
        <f>12*E23/G23</f>
        <v>6360</v>
      </c>
      <c r="L23" s="24">
        <v>2000.0</v>
      </c>
      <c r="M23" s="25">
        <f t="shared" si="38"/>
        <v>18300</v>
      </c>
      <c r="N23" s="25">
        <f t="shared" si="35"/>
        <v>22660</v>
      </c>
      <c r="O23" s="24">
        <f t="shared" ref="O23:P23" si="40">2*M23/100</f>
        <v>366</v>
      </c>
      <c r="P23" s="24">
        <f t="shared" si="40"/>
        <v>453.2</v>
      </c>
      <c r="Q23" s="24">
        <v>15000.0</v>
      </c>
      <c r="R23" s="25">
        <f t="shared" si="27"/>
        <v>33666</v>
      </c>
      <c r="S23" s="25">
        <f t="shared" si="34"/>
        <v>38113.2</v>
      </c>
      <c r="T23" s="24" t="s">
        <v>150</v>
      </c>
    </row>
    <row r="24" ht="90.0" customHeight="1">
      <c r="A24" s="25"/>
      <c r="B24" s="24" t="s">
        <v>142</v>
      </c>
      <c r="C24" s="24" t="s">
        <v>143</v>
      </c>
      <c r="D24" s="24">
        <v>1.0E7</v>
      </c>
      <c r="E24" s="24">
        <v>265000.0</v>
      </c>
      <c r="F24" s="24">
        <v>2750.0</v>
      </c>
      <c r="G24" s="24">
        <v>1000.0</v>
      </c>
      <c r="H24" s="25">
        <f t="shared" si="41"/>
        <v>14300</v>
      </c>
      <c r="J24" s="25">
        <f t="shared" si="42"/>
        <v>1000</v>
      </c>
      <c r="K24" s="25">
        <f>12*2*E24/G24</f>
        <v>6360</v>
      </c>
      <c r="L24" s="24">
        <v>2000.0</v>
      </c>
      <c r="M24" s="25">
        <f t="shared" si="38"/>
        <v>17300</v>
      </c>
      <c r="N24" s="25">
        <f t="shared" si="35"/>
        <v>22660</v>
      </c>
      <c r="O24" s="24">
        <f t="shared" ref="O24:P24" si="43">2*M24/100</f>
        <v>346</v>
      </c>
      <c r="P24" s="24">
        <f t="shared" si="43"/>
        <v>453.2</v>
      </c>
      <c r="Q24" s="24">
        <v>15000.0</v>
      </c>
      <c r="R24" s="25">
        <f t="shared" si="27"/>
        <v>32646</v>
      </c>
      <c r="S24" s="25">
        <f t="shared" si="34"/>
        <v>38113.2</v>
      </c>
      <c r="T24" s="24" t="s">
        <v>150</v>
      </c>
    </row>
    <row r="25" ht="90.0" customHeight="1">
      <c r="A25" s="25"/>
      <c r="B25" s="24" t="s">
        <v>142</v>
      </c>
      <c r="C25" s="24" t="s">
        <v>143</v>
      </c>
      <c r="D25" s="24">
        <v>1.0E7</v>
      </c>
      <c r="E25" s="24">
        <v>265000.0</v>
      </c>
      <c r="F25" s="24">
        <v>2750.0</v>
      </c>
      <c r="G25" s="24">
        <v>1500.0</v>
      </c>
      <c r="H25" s="25">
        <f t="shared" si="41"/>
        <v>14300</v>
      </c>
      <c r="J25" s="25">
        <f>46*33*26*3/1000000*D25/G25</f>
        <v>789.36</v>
      </c>
      <c r="K25" s="25">
        <f>12*3*E25/G25</f>
        <v>6360</v>
      </c>
      <c r="L25" s="24">
        <v>2000.0</v>
      </c>
      <c r="M25" s="25">
        <f t="shared" si="38"/>
        <v>17089.36</v>
      </c>
      <c r="N25" s="25">
        <f t="shared" si="35"/>
        <v>22660</v>
      </c>
      <c r="O25" s="24">
        <f t="shared" ref="O25:P25" si="44">2*M25/100</f>
        <v>341.7872</v>
      </c>
      <c r="P25" s="24">
        <f t="shared" si="44"/>
        <v>453.2</v>
      </c>
      <c r="Q25" s="24">
        <v>15000.0</v>
      </c>
      <c r="R25" s="25">
        <f t="shared" si="27"/>
        <v>32431.1472</v>
      </c>
      <c r="S25" s="25">
        <f t="shared" si="34"/>
        <v>38113.2</v>
      </c>
      <c r="T25" s="24" t="s">
        <v>150</v>
      </c>
    </row>
    <row r="26" ht="90.0" customHeight="1">
      <c r="A26" s="25"/>
      <c r="B26" s="24" t="s">
        <v>142</v>
      </c>
      <c r="C26" s="24" t="s">
        <v>143</v>
      </c>
      <c r="D26" s="24">
        <v>1.0E7</v>
      </c>
      <c r="E26" s="24">
        <v>265000.0</v>
      </c>
      <c r="F26" s="24">
        <v>2750.0</v>
      </c>
      <c r="G26" s="24">
        <v>500.0</v>
      </c>
      <c r="H26" s="25">
        <f t="shared" ref="H26:H28" si="46">5.5*F26</f>
        <v>15125</v>
      </c>
      <c r="J26" s="25">
        <f t="shared" ref="J26:J27" si="47">0.1*D26/G26</f>
        <v>2000</v>
      </c>
      <c r="K26" s="25">
        <f>16*E26/G26</f>
        <v>8480</v>
      </c>
      <c r="L26" s="24">
        <v>3000.0</v>
      </c>
      <c r="M26" s="25">
        <f t="shared" si="38"/>
        <v>20125</v>
      </c>
      <c r="N26" s="25">
        <f t="shared" si="35"/>
        <v>26605</v>
      </c>
      <c r="O26" s="24">
        <f t="shared" ref="O26:P26" si="45">2*M26/100</f>
        <v>402.5</v>
      </c>
      <c r="P26" s="24">
        <f t="shared" si="45"/>
        <v>532.1</v>
      </c>
      <c r="Q26" s="24">
        <v>15000.0</v>
      </c>
      <c r="R26" s="25">
        <f t="shared" si="27"/>
        <v>35527.5</v>
      </c>
      <c r="S26" s="25">
        <f t="shared" si="34"/>
        <v>42137.1</v>
      </c>
      <c r="T26" s="24" t="s">
        <v>151</v>
      </c>
    </row>
    <row r="27" ht="90.0" customHeight="1">
      <c r="A27" s="25"/>
      <c r="B27" s="24" t="s">
        <v>142</v>
      </c>
      <c r="C27" s="24" t="s">
        <v>143</v>
      </c>
      <c r="D27" s="24">
        <v>1.0E7</v>
      </c>
      <c r="E27" s="24">
        <v>265000.0</v>
      </c>
      <c r="F27" s="24">
        <v>2750.0</v>
      </c>
      <c r="G27" s="24">
        <v>1000.0</v>
      </c>
      <c r="H27" s="25">
        <f t="shared" si="46"/>
        <v>15125</v>
      </c>
      <c r="J27" s="25">
        <f t="shared" si="47"/>
        <v>1000</v>
      </c>
      <c r="K27" s="25">
        <f>16*2*E27/G27</f>
        <v>8480</v>
      </c>
      <c r="L27" s="24">
        <v>3000.0</v>
      </c>
      <c r="M27" s="25">
        <f t="shared" si="38"/>
        <v>19125</v>
      </c>
      <c r="N27" s="25">
        <f t="shared" si="35"/>
        <v>26605</v>
      </c>
      <c r="O27" s="24">
        <f t="shared" ref="O27:P27" si="48">2*M27/100</f>
        <v>382.5</v>
      </c>
      <c r="P27" s="24">
        <f t="shared" si="48"/>
        <v>532.1</v>
      </c>
      <c r="Q27" s="24">
        <v>15000.0</v>
      </c>
      <c r="R27" s="25">
        <f t="shared" si="27"/>
        <v>34507.5</v>
      </c>
      <c r="S27" s="25">
        <f t="shared" si="34"/>
        <v>42137.1</v>
      </c>
      <c r="T27" s="24" t="s">
        <v>151</v>
      </c>
    </row>
    <row r="28" ht="90.0" customHeight="1">
      <c r="A28" s="25"/>
      <c r="B28" s="24" t="s">
        <v>142</v>
      </c>
      <c r="C28" s="24" t="s">
        <v>143</v>
      </c>
      <c r="D28" s="24">
        <v>1.0E7</v>
      </c>
      <c r="E28" s="24">
        <v>265000.0</v>
      </c>
      <c r="F28" s="24">
        <v>2750.0</v>
      </c>
      <c r="G28" s="24">
        <v>1500.0</v>
      </c>
      <c r="H28" s="25">
        <f t="shared" si="46"/>
        <v>15125</v>
      </c>
      <c r="J28" s="25">
        <f>45*34*27*3/1000000*D28/G28</f>
        <v>826.2</v>
      </c>
      <c r="K28" s="25">
        <f>16*3*E28/G28</f>
        <v>8480</v>
      </c>
      <c r="L28" s="24">
        <v>3000.0</v>
      </c>
      <c r="M28" s="25">
        <f t="shared" si="38"/>
        <v>18951.2</v>
      </c>
      <c r="N28" s="25">
        <f t="shared" si="35"/>
        <v>26605</v>
      </c>
      <c r="O28" s="24">
        <f t="shared" ref="O28:P28" si="49">2*M28/100</f>
        <v>379.024</v>
      </c>
      <c r="P28" s="24">
        <f t="shared" si="49"/>
        <v>532.1</v>
      </c>
      <c r="Q28" s="24">
        <v>15000.0</v>
      </c>
      <c r="R28" s="25">
        <f t="shared" si="27"/>
        <v>34330.224</v>
      </c>
      <c r="S28" s="25">
        <f t="shared" si="34"/>
        <v>42137.1</v>
      </c>
      <c r="T28" s="24" t="s">
        <v>151</v>
      </c>
    </row>
    <row r="29" ht="90.0" customHeight="1">
      <c r="A29" s="25"/>
      <c r="B29" s="24" t="s">
        <v>142</v>
      </c>
      <c r="C29" s="24" t="s">
        <v>143</v>
      </c>
      <c r="D29" s="24">
        <v>1.0E7</v>
      </c>
      <c r="E29" s="24">
        <v>265000.0</v>
      </c>
      <c r="F29" s="24">
        <v>2750.0</v>
      </c>
      <c r="G29" s="24">
        <v>500.0</v>
      </c>
      <c r="H29" s="25">
        <f t="shared" ref="H29:H31" si="51">5.85*F29</f>
        <v>16087.5</v>
      </c>
      <c r="J29" s="25">
        <f>0.1*D29/G29</f>
        <v>2000</v>
      </c>
      <c r="K29" s="25">
        <f>26*E29/G29</f>
        <v>13780</v>
      </c>
      <c r="L29" s="24">
        <v>3000.0</v>
      </c>
      <c r="M29" s="25">
        <f t="shared" si="38"/>
        <v>21087.5</v>
      </c>
      <c r="N29" s="25">
        <f t="shared" si="35"/>
        <v>32867.5</v>
      </c>
      <c r="O29" s="24">
        <f t="shared" ref="O29:P29" si="50">2*M29/100</f>
        <v>421.75</v>
      </c>
      <c r="P29" s="24">
        <f t="shared" si="50"/>
        <v>657.35</v>
      </c>
      <c r="Q29" s="24">
        <v>13000.0</v>
      </c>
      <c r="R29" s="25">
        <f t="shared" si="27"/>
        <v>34509.25</v>
      </c>
      <c r="S29" s="25">
        <f t="shared" si="34"/>
        <v>46524.85</v>
      </c>
      <c r="T29" s="24" t="s">
        <v>152</v>
      </c>
    </row>
    <row r="30" ht="90.0" customHeight="1">
      <c r="A30" s="25"/>
      <c r="B30" s="24" t="s">
        <v>142</v>
      </c>
      <c r="C30" s="24" t="s">
        <v>143</v>
      </c>
      <c r="D30" s="24">
        <v>1.0E7</v>
      </c>
      <c r="E30" s="24">
        <v>265000.0</v>
      </c>
      <c r="F30" s="24">
        <v>2750.0</v>
      </c>
      <c r="G30" s="24">
        <v>1000.0</v>
      </c>
      <c r="H30" s="25">
        <f t="shared" si="51"/>
        <v>16087.5</v>
      </c>
      <c r="J30" s="25">
        <f>0.18*D30/G30</f>
        <v>1800</v>
      </c>
      <c r="K30" s="25">
        <f>26*2*E30/G30</f>
        <v>13780</v>
      </c>
      <c r="L30" s="24">
        <v>4000.0</v>
      </c>
      <c r="M30" s="25">
        <f t="shared" si="38"/>
        <v>21887.5</v>
      </c>
      <c r="N30" s="25">
        <f t="shared" si="35"/>
        <v>33867.5</v>
      </c>
      <c r="O30" s="24">
        <f t="shared" ref="O30:P30" si="52">2*M30/100</f>
        <v>437.75</v>
      </c>
      <c r="P30" s="24">
        <f t="shared" si="52"/>
        <v>677.35</v>
      </c>
      <c r="Q30" s="24">
        <v>15000.0</v>
      </c>
      <c r="R30" s="25">
        <f t="shared" si="27"/>
        <v>37325.25</v>
      </c>
      <c r="S30" s="25">
        <f t="shared" si="34"/>
        <v>49544.85</v>
      </c>
      <c r="T30" s="24" t="s">
        <v>152</v>
      </c>
    </row>
    <row r="31" ht="90.0" customHeight="1">
      <c r="A31" s="25"/>
      <c r="B31" s="24" t="s">
        <v>142</v>
      </c>
      <c r="C31" s="24" t="s">
        <v>143</v>
      </c>
      <c r="D31" s="24">
        <v>1.0E7</v>
      </c>
      <c r="E31" s="24">
        <v>265000.0</v>
      </c>
      <c r="F31" s="24">
        <v>2750.0</v>
      </c>
      <c r="G31" s="24">
        <v>1500.0</v>
      </c>
      <c r="H31" s="25">
        <f t="shared" si="51"/>
        <v>16087.5</v>
      </c>
      <c r="J31" s="25">
        <f>0.27*D31/G31</f>
        <v>1800</v>
      </c>
      <c r="K31" s="25">
        <f>26*3*E31/G31</f>
        <v>13780</v>
      </c>
      <c r="L31" s="24">
        <v>4000.0</v>
      </c>
      <c r="M31" s="25">
        <f t="shared" si="38"/>
        <v>21887.5</v>
      </c>
      <c r="N31" s="25">
        <f t="shared" si="35"/>
        <v>33867.5</v>
      </c>
      <c r="O31" s="24">
        <f t="shared" ref="O31:P31" si="53">2*M31/100</f>
        <v>437.75</v>
      </c>
      <c r="P31" s="24">
        <f t="shared" si="53"/>
        <v>677.35</v>
      </c>
      <c r="Q31" s="24">
        <f t="shared" ref="Q31:Q32" si="55">15000-8000</f>
        <v>7000</v>
      </c>
      <c r="R31" s="25">
        <f t="shared" si="27"/>
        <v>29325.25</v>
      </c>
      <c r="S31" s="25">
        <f t="shared" si="34"/>
        <v>41544.85</v>
      </c>
      <c r="T31" s="24" t="s">
        <v>152</v>
      </c>
    </row>
    <row r="32" ht="90.0" customHeight="1">
      <c r="A32" s="25"/>
      <c r="B32" s="24" t="s">
        <v>142</v>
      </c>
      <c r="C32" s="24" t="s">
        <v>143</v>
      </c>
      <c r="D32" s="24">
        <v>1.0E7</v>
      </c>
      <c r="E32" s="24">
        <v>265000.0</v>
      </c>
      <c r="F32" s="24">
        <v>2750.0</v>
      </c>
      <c r="G32" s="24">
        <v>500.0</v>
      </c>
      <c r="H32" s="25">
        <f t="shared" ref="H32:H34" si="56">7.25*F32</f>
        <v>19937.5</v>
      </c>
      <c r="J32" s="25">
        <f>0.25*D32/G32</f>
        <v>5000</v>
      </c>
      <c r="K32" s="25">
        <f>36*E32/G32</f>
        <v>19080</v>
      </c>
      <c r="L32" s="24">
        <v>5000.0</v>
      </c>
      <c r="M32" s="25">
        <f t="shared" si="38"/>
        <v>29937.5</v>
      </c>
      <c r="N32" s="25">
        <f t="shared" si="35"/>
        <v>44017.5</v>
      </c>
      <c r="O32" s="24">
        <f t="shared" ref="O32:P32" si="54">2*M32/100</f>
        <v>598.75</v>
      </c>
      <c r="P32" s="24">
        <f t="shared" si="54"/>
        <v>880.35</v>
      </c>
      <c r="Q32" s="24">
        <f t="shared" si="55"/>
        <v>7000</v>
      </c>
      <c r="R32" s="25">
        <f t="shared" si="27"/>
        <v>37536.25</v>
      </c>
      <c r="S32" s="25">
        <f t="shared" si="34"/>
        <v>51897.85</v>
      </c>
      <c r="T32" s="24" t="s">
        <v>153</v>
      </c>
    </row>
    <row r="33" ht="90.0" customHeight="1">
      <c r="A33" s="25"/>
      <c r="B33" s="24" t="s">
        <v>142</v>
      </c>
      <c r="C33" s="24" t="s">
        <v>143</v>
      </c>
      <c r="D33" s="24">
        <v>1.0E7</v>
      </c>
      <c r="E33" s="24">
        <v>265000.0</v>
      </c>
      <c r="F33" s="24">
        <v>2750.0</v>
      </c>
      <c r="G33" s="24">
        <v>1000.0</v>
      </c>
      <c r="H33" s="25">
        <f t="shared" si="56"/>
        <v>19937.5</v>
      </c>
      <c r="J33" s="25">
        <f>0.5*D33/G33</f>
        <v>5000</v>
      </c>
      <c r="K33" s="25">
        <f>36*2*E33/G33</f>
        <v>19080</v>
      </c>
      <c r="L33" s="24">
        <v>5000.0</v>
      </c>
      <c r="M33" s="25">
        <f t="shared" si="38"/>
        <v>29937.5</v>
      </c>
      <c r="N33" s="25">
        <f t="shared" si="35"/>
        <v>44017.5</v>
      </c>
      <c r="O33" s="24">
        <f t="shared" ref="O33:P33" si="57">2*M33/100</f>
        <v>598.75</v>
      </c>
      <c r="P33" s="24">
        <f t="shared" si="57"/>
        <v>880.35</v>
      </c>
      <c r="Q33" s="24">
        <f>13500-7000</f>
        <v>6500</v>
      </c>
      <c r="R33" s="25">
        <f t="shared" si="27"/>
        <v>37036.25</v>
      </c>
      <c r="S33" s="25">
        <f t="shared" si="34"/>
        <v>51397.85</v>
      </c>
      <c r="T33" s="24" t="s">
        <v>153</v>
      </c>
    </row>
    <row r="34" ht="90.0" customHeight="1">
      <c r="A34" s="25"/>
      <c r="B34" s="24" t="s">
        <v>142</v>
      </c>
      <c r="C34" s="24" t="s">
        <v>143</v>
      </c>
      <c r="D34" s="24">
        <v>1.0E7</v>
      </c>
      <c r="E34" s="24">
        <v>265000.0</v>
      </c>
      <c r="F34" s="24">
        <v>2750.0</v>
      </c>
      <c r="G34" s="24">
        <v>1500.0</v>
      </c>
      <c r="H34" s="25">
        <f t="shared" si="56"/>
        <v>19937.5</v>
      </c>
      <c r="J34" s="25">
        <f>0.75*D34/G34</f>
        <v>5000</v>
      </c>
      <c r="K34" s="25">
        <f>36*3*E34/G34</f>
        <v>19080</v>
      </c>
      <c r="L34" s="24">
        <v>5000.0</v>
      </c>
      <c r="M34" s="25">
        <f t="shared" si="38"/>
        <v>29937.5</v>
      </c>
      <c r="N34" s="25">
        <f t="shared" si="35"/>
        <v>44017.5</v>
      </c>
      <c r="O34" s="24">
        <f t="shared" ref="O34:P34" si="58">2*M34/100</f>
        <v>598.75</v>
      </c>
      <c r="P34" s="24">
        <f t="shared" si="58"/>
        <v>880.35</v>
      </c>
      <c r="Q34" s="24">
        <f>13000-6000</f>
        <v>7000</v>
      </c>
      <c r="R34" s="25">
        <f t="shared" si="27"/>
        <v>37536.25</v>
      </c>
      <c r="S34" s="25">
        <f t="shared" si="34"/>
        <v>51897.85</v>
      </c>
      <c r="T34" s="24" t="s">
        <v>153</v>
      </c>
    </row>
    <row r="35" ht="90.0" customHeight="1">
      <c r="A35" s="25"/>
      <c r="B35" s="24" t="s">
        <v>154</v>
      </c>
      <c r="C35" s="24" t="s">
        <v>155</v>
      </c>
      <c r="G35" s="24">
        <v>100.0</v>
      </c>
      <c r="R35" s="24">
        <v>510000.0</v>
      </c>
    </row>
    <row r="36" ht="90.0" customHeight="1">
      <c r="A36" s="25"/>
      <c r="B36" s="24" t="s">
        <v>156</v>
      </c>
      <c r="C36" s="24" t="s">
        <v>155</v>
      </c>
      <c r="G36" s="24">
        <v>100.0</v>
      </c>
      <c r="R36" s="24">
        <v>560000.0</v>
      </c>
    </row>
    <row r="37" ht="90.0" customHeight="1">
      <c r="A37" s="25"/>
      <c r="B37" s="24" t="s">
        <v>157</v>
      </c>
      <c r="C37" s="24" t="s">
        <v>158</v>
      </c>
    </row>
    <row r="38" ht="90.0" customHeight="1">
      <c r="A38" s="25"/>
      <c r="B38" s="24" t="s">
        <v>159</v>
      </c>
      <c r="C38" s="24" t="s">
        <v>160</v>
      </c>
    </row>
    <row r="39" ht="90.0" customHeight="1"/>
    <row r="40" ht="90.0" customHeight="1"/>
    <row r="41" ht="90.0" customHeight="1"/>
    <row r="42" ht="90.0" customHeight="1"/>
    <row r="43" ht="90.0" customHeight="1"/>
    <row r="44" ht="90.0" customHeight="1"/>
    <row r="45" ht="90.0" customHeight="1"/>
    <row r="46" ht="90.0" customHeight="1"/>
    <row r="47" ht="90.0" customHeight="1"/>
    <row r="48" ht="90.0" customHeight="1"/>
    <row r="49" ht="90.0" customHeight="1"/>
    <row r="50" ht="90.0" customHeight="1"/>
    <row r="51" ht="90.0" customHeight="1"/>
    <row r="52" ht="90.0" customHeight="1"/>
    <row r="53" ht="90.0" customHeight="1"/>
    <row r="54" ht="90.0" customHeight="1"/>
    <row r="55" ht="90.0" customHeight="1"/>
    <row r="56" ht="90.0" customHeight="1"/>
    <row r="57" ht="90.0" customHeight="1"/>
    <row r="58" ht="90.0" customHeight="1"/>
    <row r="59" ht="90.0" customHeight="1"/>
    <row r="60" ht="90.0" customHeight="1"/>
    <row r="61" ht="90.0" customHeight="1"/>
    <row r="62" ht="90.0" customHeight="1"/>
    <row r="63" ht="90.0" customHeight="1"/>
    <row r="64" ht="90.0" customHeight="1"/>
    <row r="65" ht="90.0" customHeight="1"/>
    <row r="66" ht="90.0" customHeight="1"/>
    <row r="67" ht="90.0" customHeight="1"/>
    <row r="68" ht="90.0" customHeight="1"/>
    <row r="69" ht="90.0" customHeight="1"/>
    <row r="70" ht="90.0" customHeight="1"/>
    <row r="71" ht="90.0" customHeight="1"/>
    <row r="72" ht="90.0" customHeight="1"/>
    <row r="73" ht="90.0" customHeight="1"/>
    <row r="74" ht="90.0" customHeight="1"/>
    <row r="75" ht="90.0" customHeight="1"/>
    <row r="76" ht="90.0" customHeight="1"/>
    <row r="77" ht="90.0" customHeight="1"/>
    <row r="78" ht="90.0" customHeight="1"/>
    <row r="79" ht="90.0" customHeight="1"/>
    <row r="80" ht="90.0" customHeight="1"/>
    <row r="81" ht="90.0" customHeight="1"/>
    <row r="82" ht="90.0" customHeight="1"/>
    <row r="83" ht="90.0" customHeight="1"/>
    <row r="84" ht="90.0" customHeight="1"/>
    <row r="85" ht="90.0" customHeight="1"/>
    <row r="86" ht="90.0" customHeight="1"/>
    <row r="87" ht="90.0" customHeight="1"/>
    <row r="88" ht="90.0" customHeight="1"/>
    <row r="89" ht="90.0" customHeight="1"/>
    <row r="90" ht="90.0" customHeight="1"/>
    <row r="91" ht="90.0" customHeight="1"/>
    <row r="92" ht="90.0" customHeight="1"/>
    <row r="93" ht="90.0" customHeight="1"/>
    <row r="94" ht="90.0" customHeight="1"/>
    <row r="95" ht="90.0" customHeight="1"/>
    <row r="96" ht="90.0" customHeight="1"/>
    <row r="97" ht="90.0" customHeight="1"/>
    <row r="98" ht="90.0" customHeight="1"/>
    <row r="99" ht="90.0" customHeight="1"/>
    <row r="100" ht="90.0" customHeight="1"/>
    <row r="101" ht="90.0" customHeight="1"/>
    <row r="102" ht="90.0" customHeight="1"/>
    <row r="103" ht="90.0" customHeight="1"/>
    <row r="104" ht="90.0" customHeight="1"/>
    <row r="105" ht="90.0" customHeight="1"/>
    <row r="106" ht="90.0" customHeight="1"/>
    <row r="107" ht="90.0" customHeight="1"/>
    <row r="108" ht="90.0" customHeight="1"/>
    <row r="109" ht="90.0" customHeight="1"/>
    <row r="110" ht="90.0" customHeight="1"/>
    <row r="111" ht="90.0" customHeight="1"/>
    <row r="112" ht="90.0" customHeight="1"/>
    <row r="113" ht="90.0" customHeight="1"/>
    <row r="114" ht="90.0" customHeight="1"/>
    <row r="115" ht="90.0" customHeight="1"/>
    <row r="116" ht="90.0" customHeight="1"/>
    <row r="117" ht="90.0" customHeight="1"/>
    <row r="118" ht="90.0" customHeight="1"/>
    <row r="119" ht="90.0" customHeight="1"/>
    <row r="120" ht="90.0" customHeight="1"/>
    <row r="121" ht="90.0" customHeight="1"/>
    <row r="122" ht="90.0" customHeight="1"/>
    <row r="123" ht="90.0" customHeight="1"/>
    <row r="124" ht="90.0" customHeight="1"/>
    <row r="125" ht="90.0" customHeight="1"/>
    <row r="126" ht="90.0" customHeight="1"/>
    <row r="127" ht="90.0" customHeight="1"/>
    <row r="128" ht="90.0" customHeight="1"/>
    <row r="129" ht="90.0" customHeight="1"/>
    <row r="130" ht="90.0" customHeight="1"/>
    <row r="131" ht="90.0" customHeight="1"/>
    <row r="132" ht="90.0" customHeight="1"/>
    <row r="133" ht="90.0" customHeight="1"/>
    <row r="134" ht="90.0" customHeight="1"/>
    <row r="135" ht="90.0" customHeight="1"/>
    <row r="136" ht="90.0" customHeight="1"/>
    <row r="137" ht="90.0" customHeight="1"/>
    <row r="138" ht="90.0" customHeight="1"/>
    <row r="139" ht="90.0" customHeight="1"/>
    <row r="140" ht="90.0" customHeight="1"/>
    <row r="141" ht="90.0" customHeight="1"/>
    <row r="142" ht="90.0" customHeight="1"/>
    <row r="143" ht="90.0" customHeight="1"/>
    <row r="144" ht="90.0" customHeight="1"/>
    <row r="145" ht="90.0" customHeight="1"/>
    <row r="146" ht="90.0" customHeight="1"/>
    <row r="147" ht="90.0" customHeight="1"/>
    <row r="148" ht="90.0" customHeight="1"/>
    <row r="149" ht="90.0" customHeight="1"/>
    <row r="150" ht="90.0" customHeight="1"/>
    <row r="151" ht="90.0" customHeight="1"/>
    <row r="152" ht="90.0" customHeight="1"/>
    <row r="153" ht="90.0" customHeight="1"/>
    <row r="154" ht="90.0" customHeight="1"/>
    <row r="155" ht="90.0" customHeight="1"/>
    <row r="156" ht="90.0" customHeight="1"/>
    <row r="157" ht="90.0" customHeight="1"/>
    <row r="158" ht="90.0" customHeight="1"/>
    <row r="159" ht="90.0" customHeight="1"/>
    <row r="160" ht="90.0" customHeight="1"/>
    <row r="161" ht="90.0" customHeight="1"/>
    <row r="162" ht="90.0" customHeight="1"/>
    <row r="163" ht="90.0" customHeight="1"/>
    <row r="164" ht="90.0" customHeight="1"/>
    <row r="165" ht="90.0" customHeight="1"/>
    <row r="166" ht="90.0" customHeight="1"/>
    <row r="167" ht="90.0" customHeight="1"/>
    <row r="168" ht="90.0" customHeight="1"/>
    <row r="169" ht="90.0" customHeight="1"/>
    <row r="170" ht="90.0" customHeight="1"/>
    <row r="171" ht="90.0" customHeight="1"/>
    <row r="172" ht="90.0" customHeight="1"/>
    <row r="173" ht="90.0" customHeight="1"/>
    <row r="174" ht="90.0" customHeight="1"/>
    <row r="175" ht="90.0" customHeight="1"/>
    <row r="176" ht="90.0" customHeight="1"/>
    <row r="177" ht="90.0" customHeight="1"/>
    <row r="178" ht="90.0" customHeight="1"/>
    <row r="179" ht="90.0" customHeight="1"/>
    <row r="180" ht="90.0" customHeight="1"/>
    <row r="181" ht="90.0" customHeight="1"/>
    <row r="182" ht="90.0" customHeight="1"/>
    <row r="183" ht="90.0" customHeight="1"/>
    <row r="184" ht="90.0" customHeight="1"/>
    <row r="185" ht="90.0" customHeight="1"/>
    <row r="186" ht="90.0" customHeight="1"/>
    <row r="187" ht="90.0" customHeight="1"/>
    <row r="188" ht="90.0" customHeight="1"/>
    <row r="189" ht="90.0" customHeight="1"/>
    <row r="190" ht="90.0" customHeight="1"/>
    <row r="191" ht="90.0" customHeight="1"/>
    <row r="192" ht="90.0" customHeight="1"/>
    <row r="193" ht="90.0" customHeight="1"/>
    <row r="194" ht="90.0" customHeight="1"/>
    <row r="195" ht="90.0" customHeight="1"/>
    <row r="196" ht="90.0" customHeight="1"/>
    <row r="197" ht="90.0" customHeight="1"/>
    <row r="198" ht="90.0" customHeight="1"/>
    <row r="199" ht="90.0" customHeight="1"/>
    <row r="200" ht="90.0" customHeight="1"/>
    <row r="201" ht="90.0" customHeight="1"/>
    <row r="202" ht="90.0" customHeight="1"/>
    <row r="203" ht="90.0" customHeight="1"/>
    <row r="204" ht="90.0" customHeight="1"/>
    <row r="205" ht="90.0" customHeight="1"/>
    <row r="206" ht="90.0" customHeight="1"/>
    <row r="207" ht="90.0" customHeight="1"/>
    <row r="208" ht="90.0" customHeight="1"/>
    <row r="209" ht="90.0" customHeight="1"/>
    <row r="210" ht="90.0" customHeight="1"/>
    <row r="211" ht="90.0" customHeight="1"/>
    <row r="212" ht="90.0" customHeight="1"/>
    <row r="213" ht="90.0" customHeight="1"/>
    <row r="214" ht="90.0" customHeight="1"/>
    <row r="215" ht="90.0" customHeight="1"/>
    <row r="216" ht="90.0" customHeight="1"/>
    <row r="217" ht="90.0" customHeight="1"/>
    <row r="218" ht="90.0" customHeight="1"/>
    <row r="219" ht="90.0" customHeight="1"/>
    <row r="220" ht="90.0" customHeight="1"/>
    <row r="221" ht="90.0" customHeight="1"/>
    <row r="222" ht="90.0" customHeight="1"/>
    <row r="223" ht="90.0" customHeight="1"/>
    <row r="224" ht="90.0" customHeight="1"/>
    <row r="225" ht="90.0" customHeight="1"/>
    <row r="226" ht="90.0" customHeight="1"/>
    <row r="227" ht="90.0" customHeight="1"/>
    <row r="228" ht="90.0" customHeight="1"/>
    <row r="229" ht="90.0" customHeight="1"/>
    <row r="230" ht="90.0" customHeight="1"/>
    <row r="231" ht="90.0" customHeight="1"/>
    <row r="232" ht="90.0" customHeight="1"/>
    <row r="233" ht="90.0" customHeight="1"/>
    <row r="234" ht="90.0" customHeight="1"/>
    <row r="235" ht="90.0" customHeight="1"/>
    <row r="236" ht="90.0" customHeight="1"/>
    <row r="237" ht="90.0" customHeight="1"/>
    <row r="238" ht="90.0" customHeight="1"/>
    <row r="239" ht="90.0" customHeight="1"/>
    <row r="240" ht="90.0" customHeight="1"/>
    <row r="241" ht="90.0" customHeight="1"/>
    <row r="242" ht="90.0" customHeight="1"/>
    <row r="243" ht="90.0" customHeight="1"/>
    <row r="244" ht="90.0" customHeight="1"/>
    <row r="245" ht="90.0" customHeight="1"/>
    <row r="246" ht="90.0" customHeight="1"/>
    <row r="247" ht="90.0" customHeight="1"/>
    <row r="248" ht="90.0" customHeight="1"/>
    <row r="249" ht="90.0" customHeight="1"/>
    <row r="250" ht="90.0" customHeight="1"/>
    <row r="251" ht="90.0" customHeight="1"/>
    <row r="252" ht="90.0" customHeight="1"/>
    <row r="253" ht="90.0" customHeight="1"/>
    <row r="254" ht="90.0" customHeight="1"/>
    <row r="255" ht="90.0" customHeight="1"/>
    <row r="256" ht="90.0" customHeight="1"/>
    <row r="257" ht="90.0" customHeight="1"/>
    <row r="258" ht="90.0" customHeight="1"/>
    <row r="259" ht="90.0" customHeight="1"/>
    <row r="260" ht="90.0" customHeight="1"/>
    <row r="261" ht="90.0" customHeight="1"/>
    <row r="262" ht="90.0" customHeight="1"/>
    <row r="263" ht="90.0" customHeight="1"/>
    <row r="264" ht="90.0" customHeight="1"/>
    <row r="265" ht="90.0" customHeight="1"/>
    <row r="266" ht="90.0" customHeight="1"/>
    <row r="267" ht="90.0" customHeight="1"/>
    <row r="268" ht="90.0" customHeight="1"/>
    <row r="269" ht="90.0" customHeight="1"/>
    <row r="270" ht="90.0" customHeight="1"/>
    <row r="271" ht="90.0" customHeight="1"/>
    <row r="272" ht="90.0" customHeight="1"/>
    <row r="273" ht="90.0" customHeight="1"/>
    <row r="274" ht="90.0" customHeight="1"/>
    <row r="275" ht="90.0" customHeight="1"/>
    <row r="276" ht="90.0" customHeight="1"/>
    <row r="277" ht="90.0" customHeight="1"/>
    <row r="278" ht="90.0" customHeight="1"/>
    <row r="279" ht="90.0" customHeight="1"/>
    <row r="280" ht="90.0" customHeight="1"/>
    <row r="281" ht="90.0" customHeight="1"/>
    <row r="282" ht="90.0" customHeight="1"/>
    <row r="283" ht="90.0" customHeight="1"/>
    <row r="284" ht="90.0" customHeight="1"/>
    <row r="285" ht="90.0" customHeight="1"/>
    <row r="286" ht="90.0" customHeight="1"/>
    <row r="287" ht="90.0" customHeight="1"/>
    <row r="288" ht="90.0" customHeight="1"/>
    <row r="289" ht="90.0" customHeight="1"/>
    <row r="290" ht="90.0" customHeight="1"/>
    <row r="291" ht="90.0" customHeight="1"/>
    <row r="292" ht="90.0" customHeight="1"/>
    <row r="293" ht="90.0" customHeight="1"/>
    <row r="294" ht="90.0" customHeight="1"/>
    <row r="295" ht="90.0" customHeight="1"/>
    <row r="296" ht="90.0" customHeight="1"/>
    <row r="297" ht="90.0" customHeight="1"/>
    <row r="298" ht="90.0" customHeight="1"/>
    <row r="299" ht="90.0" customHeight="1"/>
    <row r="300" ht="90.0" customHeight="1"/>
    <row r="301" ht="90.0" customHeight="1"/>
    <row r="302" ht="90.0" customHeight="1"/>
    <row r="303" ht="90.0" customHeight="1"/>
    <row r="304" ht="90.0" customHeight="1"/>
    <row r="305" ht="90.0" customHeight="1"/>
    <row r="306" ht="90.0" customHeight="1"/>
    <row r="307" ht="90.0" customHeight="1"/>
    <row r="308" ht="90.0" customHeight="1"/>
    <row r="309" ht="90.0" customHeight="1"/>
    <row r="310" ht="90.0" customHeight="1"/>
    <row r="311" ht="90.0" customHeight="1"/>
    <row r="312" ht="90.0" customHeight="1"/>
    <row r="313" ht="90.0" customHeight="1"/>
    <row r="314" ht="90.0" customHeight="1"/>
    <row r="315" ht="90.0" customHeight="1"/>
    <row r="316" ht="90.0" customHeight="1"/>
    <row r="317" ht="90.0" customHeight="1"/>
    <row r="318" ht="90.0" customHeight="1"/>
    <row r="319" ht="90.0" customHeight="1"/>
    <row r="320" ht="90.0" customHeight="1"/>
    <row r="321" ht="90.0" customHeight="1"/>
    <row r="322" ht="90.0" customHeight="1"/>
    <row r="323" ht="90.0" customHeight="1"/>
    <row r="324" ht="90.0" customHeight="1"/>
    <row r="325" ht="90.0" customHeight="1"/>
    <row r="326" ht="90.0" customHeight="1"/>
    <row r="327" ht="90.0" customHeight="1"/>
    <row r="328" ht="90.0" customHeight="1"/>
    <row r="329" ht="90.0" customHeight="1"/>
    <row r="330" ht="90.0" customHeight="1"/>
    <row r="331" ht="90.0" customHeight="1"/>
    <row r="332" ht="90.0" customHeight="1"/>
    <row r="333" ht="90.0" customHeight="1"/>
    <row r="334" ht="90.0" customHeight="1"/>
    <row r="335" ht="90.0" customHeight="1"/>
    <row r="336" ht="90.0" customHeight="1"/>
    <row r="337" ht="90.0" customHeight="1"/>
    <row r="338" ht="90.0" customHeight="1"/>
    <row r="339" ht="90.0" customHeight="1"/>
    <row r="340" ht="90.0" customHeight="1"/>
    <row r="341" ht="90.0" customHeight="1"/>
    <row r="342" ht="90.0" customHeight="1"/>
    <row r="343" ht="90.0" customHeight="1"/>
    <row r="344" ht="90.0" customHeight="1"/>
    <row r="345" ht="90.0" customHeight="1"/>
    <row r="346" ht="90.0" customHeight="1"/>
    <row r="347" ht="90.0" customHeight="1"/>
    <row r="348" ht="90.0" customHeight="1"/>
    <row r="349" ht="90.0" customHeight="1"/>
    <row r="350" ht="90.0" customHeight="1"/>
    <row r="351" ht="90.0" customHeight="1"/>
    <row r="352" ht="90.0" customHeight="1"/>
    <row r="353" ht="90.0" customHeight="1"/>
    <row r="354" ht="90.0" customHeight="1"/>
    <row r="355" ht="90.0" customHeight="1"/>
    <row r="356" ht="90.0" customHeight="1"/>
    <row r="357" ht="90.0" customHeight="1"/>
    <row r="358" ht="90.0" customHeight="1"/>
    <row r="359" ht="90.0" customHeight="1"/>
    <row r="360" ht="90.0" customHeight="1"/>
    <row r="361" ht="90.0" customHeight="1"/>
    <row r="362" ht="90.0" customHeight="1"/>
    <row r="363" ht="90.0" customHeight="1"/>
    <row r="364" ht="90.0" customHeight="1"/>
    <row r="365" ht="90.0" customHeight="1"/>
    <row r="366" ht="90.0" customHeight="1"/>
    <row r="367" ht="90.0" customHeight="1"/>
    <row r="368" ht="90.0" customHeight="1"/>
    <row r="369" ht="90.0" customHeight="1"/>
    <row r="370" ht="90.0" customHeight="1"/>
    <row r="371" ht="90.0" customHeight="1"/>
    <row r="372" ht="90.0" customHeight="1"/>
    <row r="373" ht="90.0" customHeight="1"/>
    <row r="374" ht="90.0" customHeight="1"/>
    <row r="375" ht="90.0" customHeight="1"/>
    <row r="376" ht="90.0" customHeight="1"/>
    <row r="377" ht="90.0" customHeight="1"/>
    <row r="378" ht="90.0" customHeight="1"/>
    <row r="379" ht="90.0" customHeight="1"/>
    <row r="380" ht="90.0" customHeight="1"/>
    <row r="381" ht="90.0" customHeight="1"/>
    <row r="382" ht="90.0" customHeight="1"/>
    <row r="383" ht="90.0" customHeight="1"/>
    <row r="384" ht="90.0" customHeight="1"/>
    <row r="385" ht="90.0" customHeight="1"/>
    <row r="386" ht="90.0" customHeight="1"/>
    <row r="387" ht="90.0" customHeight="1"/>
    <row r="388" ht="90.0" customHeight="1"/>
    <row r="389" ht="90.0" customHeight="1"/>
    <row r="390" ht="90.0" customHeight="1"/>
    <row r="391" ht="90.0" customHeight="1"/>
    <row r="392" ht="90.0" customHeight="1"/>
    <row r="393" ht="90.0" customHeight="1"/>
    <row r="394" ht="90.0" customHeight="1"/>
    <row r="395" ht="90.0" customHeight="1"/>
    <row r="396" ht="90.0" customHeight="1"/>
    <row r="397" ht="90.0" customHeight="1"/>
    <row r="398" ht="90.0" customHeight="1"/>
    <row r="399" ht="90.0" customHeight="1"/>
    <row r="400" ht="90.0" customHeight="1"/>
    <row r="401" ht="90.0" customHeight="1"/>
    <row r="402" ht="90.0" customHeight="1"/>
    <row r="403" ht="90.0" customHeight="1"/>
    <row r="404" ht="90.0" customHeight="1"/>
    <row r="405" ht="90.0" customHeight="1"/>
    <row r="406" ht="90.0" customHeight="1"/>
    <row r="407" ht="90.0" customHeight="1"/>
    <row r="408" ht="90.0" customHeight="1"/>
    <row r="409" ht="90.0" customHeight="1"/>
    <row r="410" ht="90.0" customHeight="1"/>
    <row r="411" ht="90.0" customHeight="1"/>
    <row r="412" ht="90.0" customHeight="1"/>
    <row r="413" ht="90.0" customHeight="1"/>
    <row r="414" ht="90.0" customHeight="1"/>
    <row r="415" ht="90.0" customHeight="1"/>
    <row r="416" ht="90.0" customHeight="1"/>
    <row r="417" ht="90.0" customHeight="1"/>
    <row r="418" ht="90.0" customHeight="1"/>
    <row r="419" ht="90.0" customHeight="1"/>
    <row r="420" ht="90.0" customHeight="1"/>
    <row r="421" ht="90.0" customHeight="1"/>
    <row r="422" ht="90.0" customHeight="1"/>
    <row r="423" ht="90.0" customHeight="1"/>
    <row r="424" ht="90.0" customHeight="1"/>
    <row r="425" ht="90.0" customHeight="1"/>
    <row r="426" ht="90.0" customHeight="1"/>
    <row r="427" ht="90.0" customHeight="1"/>
    <row r="428" ht="90.0" customHeight="1"/>
    <row r="429" ht="90.0" customHeight="1"/>
    <row r="430" ht="90.0" customHeight="1"/>
    <row r="431" ht="90.0" customHeight="1"/>
    <row r="432" ht="90.0" customHeight="1"/>
    <row r="433" ht="90.0" customHeight="1"/>
    <row r="434" ht="90.0" customHeight="1"/>
    <row r="435" ht="90.0" customHeight="1"/>
    <row r="436" ht="90.0" customHeight="1"/>
    <row r="437" ht="90.0" customHeight="1"/>
    <row r="438" ht="90.0" customHeight="1"/>
    <row r="439" ht="90.0" customHeight="1"/>
    <row r="440" ht="90.0" customHeight="1"/>
    <row r="441" ht="90.0" customHeight="1"/>
    <row r="442" ht="90.0" customHeight="1"/>
    <row r="443" ht="90.0" customHeight="1"/>
    <row r="444" ht="90.0" customHeight="1"/>
    <row r="445" ht="90.0" customHeight="1"/>
    <row r="446" ht="90.0" customHeight="1"/>
    <row r="447" ht="90.0" customHeight="1"/>
    <row r="448" ht="90.0" customHeight="1"/>
    <row r="449" ht="90.0" customHeight="1"/>
    <row r="450" ht="90.0" customHeight="1"/>
    <row r="451" ht="90.0" customHeight="1"/>
    <row r="452" ht="90.0" customHeight="1"/>
    <row r="453" ht="90.0" customHeight="1"/>
    <row r="454" ht="90.0" customHeight="1"/>
    <row r="455" ht="90.0" customHeight="1"/>
    <row r="456" ht="90.0" customHeight="1"/>
    <row r="457" ht="90.0" customHeight="1"/>
    <row r="458" ht="90.0" customHeight="1"/>
    <row r="459" ht="90.0" customHeight="1"/>
    <row r="460" ht="90.0" customHeight="1"/>
    <row r="461" ht="90.0" customHeight="1"/>
    <row r="462" ht="90.0" customHeight="1"/>
    <row r="463" ht="90.0" customHeight="1"/>
    <row r="464" ht="90.0" customHeight="1"/>
    <row r="465" ht="90.0" customHeight="1"/>
    <row r="466" ht="90.0" customHeight="1"/>
    <row r="467" ht="90.0" customHeight="1"/>
    <row r="468" ht="90.0" customHeight="1"/>
    <row r="469" ht="90.0" customHeight="1"/>
    <row r="470" ht="90.0" customHeight="1"/>
    <row r="471" ht="90.0" customHeight="1"/>
    <row r="472" ht="90.0" customHeight="1"/>
    <row r="473" ht="90.0" customHeight="1"/>
    <row r="474" ht="90.0" customHeight="1"/>
    <row r="475" ht="90.0" customHeight="1"/>
    <row r="476" ht="90.0" customHeight="1"/>
    <row r="477" ht="90.0" customHeight="1"/>
    <row r="478" ht="90.0" customHeight="1"/>
    <row r="479" ht="90.0" customHeight="1"/>
    <row r="480" ht="90.0" customHeight="1"/>
    <row r="481" ht="90.0" customHeight="1"/>
    <row r="482" ht="90.0" customHeight="1"/>
    <row r="483" ht="90.0" customHeight="1"/>
    <row r="484" ht="90.0" customHeight="1"/>
    <row r="485" ht="90.0" customHeight="1"/>
    <row r="486" ht="90.0" customHeight="1"/>
    <row r="487" ht="90.0" customHeight="1"/>
    <row r="488" ht="90.0" customHeight="1"/>
    <row r="489" ht="90.0" customHeight="1"/>
    <row r="490" ht="90.0" customHeight="1"/>
    <row r="491" ht="90.0" customHeight="1"/>
    <row r="492" ht="90.0" customHeight="1"/>
    <row r="493" ht="90.0" customHeight="1"/>
    <row r="494" ht="90.0" customHeight="1"/>
    <row r="495" ht="90.0" customHeight="1"/>
    <row r="496" ht="90.0" customHeight="1"/>
    <row r="497" ht="90.0" customHeight="1"/>
    <row r="498" ht="90.0" customHeight="1"/>
    <row r="499" ht="90.0" customHeight="1"/>
    <row r="500" ht="90.0" customHeight="1"/>
    <row r="501" ht="90.0" customHeight="1"/>
    <row r="502" ht="90.0" customHeight="1"/>
    <row r="503" ht="90.0" customHeight="1"/>
    <row r="504" ht="90.0" customHeight="1"/>
    <row r="505" ht="90.0" customHeight="1"/>
    <row r="506" ht="90.0" customHeight="1"/>
    <row r="507" ht="90.0" customHeight="1"/>
    <row r="508" ht="90.0" customHeight="1"/>
    <row r="509" ht="90.0" customHeight="1"/>
    <row r="510" ht="90.0" customHeight="1"/>
    <row r="511" ht="90.0" customHeight="1"/>
    <row r="512" ht="90.0" customHeight="1"/>
    <row r="513" ht="90.0" customHeight="1"/>
    <row r="514" ht="90.0" customHeight="1"/>
    <row r="515" ht="90.0" customHeight="1"/>
    <row r="516" ht="90.0" customHeight="1"/>
    <row r="517" ht="90.0" customHeight="1"/>
    <row r="518" ht="90.0" customHeight="1"/>
    <row r="519" ht="90.0" customHeight="1"/>
    <row r="520" ht="90.0" customHeight="1"/>
    <row r="521" ht="90.0" customHeight="1"/>
    <row r="522" ht="90.0" customHeight="1"/>
    <row r="523" ht="90.0" customHeight="1"/>
    <row r="524" ht="90.0" customHeight="1"/>
    <row r="525" ht="90.0" customHeight="1"/>
    <row r="526" ht="90.0" customHeight="1"/>
    <row r="527" ht="90.0" customHeight="1"/>
    <row r="528" ht="90.0" customHeight="1"/>
    <row r="529" ht="90.0" customHeight="1"/>
    <row r="530" ht="90.0" customHeight="1"/>
    <row r="531" ht="90.0" customHeight="1"/>
    <row r="532" ht="90.0" customHeight="1"/>
    <row r="533" ht="90.0" customHeight="1"/>
    <row r="534" ht="90.0" customHeight="1"/>
    <row r="535" ht="90.0" customHeight="1"/>
    <row r="536" ht="90.0" customHeight="1"/>
    <row r="537" ht="90.0" customHeight="1"/>
    <row r="538" ht="90.0" customHeight="1"/>
    <row r="539" ht="90.0" customHeight="1"/>
    <row r="540" ht="90.0" customHeight="1"/>
    <row r="541" ht="90.0" customHeight="1"/>
    <row r="542" ht="90.0" customHeight="1"/>
    <row r="543" ht="90.0" customHeight="1"/>
    <row r="544" ht="90.0" customHeight="1"/>
    <row r="545" ht="90.0" customHeight="1"/>
    <row r="546" ht="90.0" customHeight="1"/>
    <row r="547" ht="90.0" customHeight="1"/>
    <row r="548" ht="90.0" customHeight="1"/>
    <row r="549" ht="90.0" customHeight="1"/>
    <row r="550" ht="90.0" customHeight="1"/>
    <row r="551" ht="90.0" customHeight="1"/>
    <row r="552" ht="90.0" customHeight="1"/>
    <row r="553" ht="90.0" customHeight="1"/>
    <row r="554" ht="90.0" customHeight="1"/>
    <row r="555" ht="90.0" customHeight="1"/>
    <row r="556" ht="90.0" customHeight="1"/>
    <row r="557" ht="90.0" customHeight="1"/>
    <row r="558" ht="90.0" customHeight="1"/>
    <row r="559" ht="90.0" customHeight="1"/>
    <row r="560" ht="90.0" customHeight="1"/>
    <row r="561" ht="90.0" customHeight="1"/>
    <row r="562" ht="90.0" customHeight="1"/>
    <row r="563" ht="90.0" customHeight="1"/>
    <row r="564" ht="90.0" customHeight="1"/>
    <row r="565" ht="90.0" customHeight="1"/>
    <row r="566" ht="90.0" customHeight="1"/>
    <row r="567" ht="90.0" customHeight="1"/>
    <row r="568" ht="90.0" customHeight="1"/>
    <row r="569" ht="90.0" customHeight="1"/>
    <row r="570" ht="90.0" customHeight="1"/>
    <row r="571" ht="90.0" customHeight="1"/>
    <row r="572" ht="90.0" customHeight="1"/>
    <row r="573" ht="90.0" customHeight="1"/>
    <row r="574" ht="90.0" customHeight="1"/>
    <row r="575" ht="90.0" customHeight="1"/>
    <row r="576" ht="90.0" customHeight="1"/>
    <row r="577" ht="90.0" customHeight="1"/>
    <row r="578" ht="90.0" customHeight="1"/>
    <row r="579" ht="90.0" customHeight="1"/>
    <row r="580" ht="90.0" customHeight="1"/>
    <row r="581" ht="90.0" customHeight="1"/>
    <row r="582" ht="90.0" customHeight="1"/>
    <row r="583" ht="90.0" customHeight="1"/>
    <row r="584" ht="90.0" customHeight="1"/>
    <row r="585" ht="90.0" customHeight="1"/>
    <row r="586" ht="90.0" customHeight="1"/>
    <row r="587" ht="90.0" customHeight="1"/>
    <row r="588" ht="90.0" customHeight="1"/>
    <row r="589" ht="90.0" customHeight="1"/>
    <row r="590" ht="90.0" customHeight="1"/>
    <row r="591" ht="90.0" customHeight="1"/>
    <row r="592" ht="90.0" customHeight="1"/>
    <row r="593" ht="90.0" customHeight="1"/>
    <row r="594" ht="90.0" customHeight="1"/>
    <row r="595" ht="90.0" customHeight="1"/>
    <row r="596" ht="90.0" customHeight="1"/>
    <row r="597" ht="90.0" customHeight="1"/>
    <row r="598" ht="90.0" customHeight="1"/>
    <row r="599" ht="90.0" customHeight="1"/>
    <row r="600" ht="90.0" customHeight="1"/>
    <row r="601" ht="90.0" customHeight="1"/>
    <row r="602" ht="90.0" customHeight="1"/>
    <row r="603" ht="90.0" customHeight="1"/>
    <row r="604" ht="90.0" customHeight="1"/>
    <row r="605" ht="90.0" customHeight="1"/>
    <row r="606" ht="90.0" customHeight="1"/>
    <row r="607" ht="90.0" customHeight="1"/>
    <row r="608" ht="90.0" customHeight="1"/>
    <row r="609" ht="90.0" customHeight="1"/>
    <row r="610" ht="90.0" customHeight="1"/>
    <row r="611" ht="90.0" customHeight="1"/>
    <row r="612" ht="90.0" customHeight="1"/>
    <row r="613" ht="90.0" customHeight="1"/>
    <row r="614" ht="90.0" customHeight="1"/>
    <row r="615" ht="90.0" customHeight="1"/>
    <row r="616" ht="90.0" customHeight="1"/>
    <row r="617" ht="90.0" customHeight="1"/>
    <row r="618" ht="90.0" customHeight="1"/>
    <row r="619" ht="90.0" customHeight="1"/>
    <row r="620" ht="90.0" customHeight="1"/>
    <row r="621" ht="90.0" customHeight="1"/>
    <row r="622" ht="90.0" customHeight="1"/>
    <row r="623" ht="90.0" customHeight="1"/>
    <row r="624" ht="90.0" customHeight="1"/>
    <row r="625" ht="90.0" customHeight="1"/>
    <row r="626" ht="90.0" customHeight="1"/>
    <row r="627" ht="90.0" customHeight="1"/>
    <row r="628" ht="90.0" customHeight="1"/>
    <row r="629" ht="90.0" customHeight="1"/>
    <row r="630" ht="90.0" customHeight="1"/>
    <row r="631" ht="90.0" customHeight="1"/>
    <row r="632" ht="90.0" customHeight="1"/>
    <row r="633" ht="90.0" customHeight="1"/>
    <row r="634" ht="90.0" customHeight="1"/>
    <row r="635" ht="90.0" customHeight="1"/>
    <row r="636" ht="90.0" customHeight="1"/>
    <row r="637" ht="90.0" customHeight="1"/>
    <row r="638" ht="90.0" customHeight="1"/>
    <row r="639" ht="90.0" customHeight="1"/>
    <row r="640" ht="90.0" customHeight="1"/>
    <row r="641" ht="90.0" customHeight="1"/>
    <row r="642" ht="90.0" customHeight="1"/>
    <row r="643" ht="90.0" customHeight="1"/>
    <row r="644" ht="90.0" customHeight="1"/>
    <row r="645" ht="90.0" customHeight="1"/>
    <row r="646" ht="90.0" customHeight="1"/>
    <row r="647" ht="90.0" customHeight="1"/>
    <row r="648" ht="90.0" customHeight="1"/>
    <row r="649" ht="90.0" customHeight="1"/>
    <row r="650" ht="90.0" customHeight="1"/>
    <row r="651" ht="90.0" customHeight="1"/>
    <row r="652" ht="90.0" customHeight="1"/>
    <row r="653" ht="90.0" customHeight="1"/>
    <row r="654" ht="90.0" customHeight="1"/>
    <row r="655" ht="90.0" customHeight="1"/>
    <row r="656" ht="90.0" customHeight="1"/>
    <row r="657" ht="90.0" customHeight="1"/>
    <row r="658" ht="90.0" customHeight="1"/>
    <row r="659" ht="90.0" customHeight="1"/>
    <row r="660" ht="90.0" customHeight="1"/>
    <row r="661" ht="90.0" customHeight="1"/>
    <row r="662" ht="90.0" customHeight="1"/>
    <row r="663" ht="90.0" customHeight="1"/>
    <row r="664" ht="90.0" customHeight="1"/>
    <row r="665" ht="90.0" customHeight="1"/>
    <row r="666" ht="90.0" customHeight="1"/>
    <row r="667" ht="90.0" customHeight="1"/>
    <row r="668" ht="90.0" customHeight="1"/>
    <row r="669" ht="90.0" customHeight="1"/>
    <row r="670" ht="90.0" customHeight="1"/>
    <row r="671" ht="90.0" customHeight="1"/>
    <row r="672" ht="90.0" customHeight="1"/>
    <row r="673" ht="90.0" customHeight="1"/>
    <row r="674" ht="90.0" customHeight="1"/>
    <row r="675" ht="90.0" customHeight="1"/>
    <row r="676" ht="90.0" customHeight="1"/>
    <row r="677" ht="90.0" customHeight="1"/>
    <row r="678" ht="90.0" customHeight="1"/>
    <row r="679" ht="90.0" customHeight="1"/>
    <row r="680" ht="90.0" customHeight="1"/>
    <row r="681" ht="90.0" customHeight="1"/>
    <row r="682" ht="90.0" customHeight="1"/>
    <row r="683" ht="90.0" customHeight="1"/>
    <row r="684" ht="90.0" customHeight="1"/>
    <row r="685" ht="90.0" customHeight="1"/>
    <row r="686" ht="90.0" customHeight="1"/>
    <row r="687" ht="90.0" customHeight="1"/>
    <row r="688" ht="90.0" customHeight="1"/>
    <row r="689" ht="90.0" customHeight="1"/>
    <row r="690" ht="90.0" customHeight="1"/>
    <row r="691" ht="90.0" customHeight="1"/>
    <row r="692" ht="90.0" customHeight="1"/>
    <row r="693" ht="90.0" customHeight="1"/>
    <row r="694" ht="90.0" customHeight="1"/>
    <row r="695" ht="90.0" customHeight="1"/>
    <row r="696" ht="90.0" customHeight="1"/>
    <row r="697" ht="90.0" customHeight="1"/>
    <row r="698" ht="90.0" customHeight="1"/>
    <row r="699" ht="90.0" customHeight="1"/>
    <row r="700" ht="90.0" customHeight="1"/>
    <row r="701" ht="90.0" customHeight="1"/>
    <row r="702" ht="90.0" customHeight="1"/>
    <row r="703" ht="90.0" customHeight="1"/>
    <row r="704" ht="90.0" customHeight="1"/>
    <row r="705" ht="90.0" customHeight="1"/>
    <row r="706" ht="90.0" customHeight="1"/>
    <row r="707" ht="90.0" customHeight="1"/>
    <row r="708" ht="90.0" customHeight="1"/>
    <row r="709" ht="90.0" customHeight="1"/>
    <row r="710" ht="90.0" customHeight="1"/>
    <row r="711" ht="90.0" customHeight="1"/>
    <row r="712" ht="90.0" customHeight="1"/>
    <row r="713" ht="90.0" customHeight="1"/>
    <row r="714" ht="90.0" customHeight="1"/>
    <row r="715" ht="90.0" customHeight="1"/>
    <row r="716" ht="90.0" customHeight="1"/>
    <row r="717" ht="90.0" customHeight="1"/>
    <row r="718" ht="90.0" customHeight="1"/>
    <row r="719" ht="90.0" customHeight="1"/>
    <row r="720" ht="90.0" customHeight="1"/>
    <row r="721" ht="90.0" customHeight="1"/>
    <row r="722" ht="90.0" customHeight="1"/>
    <row r="723" ht="90.0" customHeight="1"/>
    <row r="724" ht="90.0" customHeight="1"/>
    <row r="725" ht="90.0" customHeight="1"/>
    <row r="726" ht="90.0" customHeight="1"/>
    <row r="727" ht="90.0" customHeight="1"/>
    <row r="728" ht="90.0" customHeight="1"/>
    <row r="729" ht="90.0" customHeight="1"/>
    <row r="730" ht="90.0" customHeight="1"/>
    <row r="731" ht="90.0" customHeight="1"/>
    <row r="732" ht="90.0" customHeight="1"/>
    <row r="733" ht="90.0" customHeight="1"/>
    <row r="734" ht="90.0" customHeight="1"/>
    <row r="735" ht="90.0" customHeight="1"/>
    <row r="736" ht="90.0" customHeight="1"/>
    <row r="737" ht="90.0" customHeight="1"/>
    <row r="738" ht="90.0" customHeight="1"/>
    <row r="739" ht="90.0" customHeight="1"/>
    <row r="740" ht="90.0" customHeight="1"/>
    <row r="741" ht="90.0" customHeight="1"/>
    <row r="742" ht="90.0" customHeight="1"/>
    <row r="743" ht="90.0" customHeight="1"/>
    <row r="744" ht="90.0" customHeight="1"/>
    <row r="745" ht="90.0" customHeight="1"/>
    <row r="746" ht="90.0" customHeight="1"/>
    <row r="747" ht="90.0" customHeight="1"/>
    <row r="748" ht="90.0" customHeight="1"/>
    <row r="749" ht="90.0" customHeight="1"/>
    <row r="750" ht="90.0" customHeight="1"/>
    <row r="751" ht="90.0" customHeight="1"/>
    <row r="752" ht="90.0" customHeight="1"/>
    <row r="753" ht="90.0" customHeight="1"/>
    <row r="754" ht="90.0" customHeight="1"/>
    <row r="755" ht="90.0" customHeight="1"/>
    <row r="756" ht="90.0" customHeight="1"/>
    <row r="757" ht="90.0" customHeight="1"/>
    <row r="758" ht="90.0" customHeight="1"/>
    <row r="759" ht="90.0" customHeight="1"/>
    <row r="760" ht="90.0" customHeight="1"/>
    <row r="761" ht="90.0" customHeight="1"/>
    <row r="762" ht="90.0" customHeight="1"/>
    <row r="763" ht="90.0" customHeight="1"/>
    <row r="764" ht="90.0" customHeight="1"/>
    <row r="765" ht="90.0" customHeight="1"/>
    <row r="766" ht="90.0" customHeight="1"/>
    <row r="767" ht="90.0" customHeight="1"/>
    <row r="768" ht="90.0" customHeight="1"/>
    <row r="769" ht="90.0" customHeight="1"/>
    <row r="770" ht="90.0" customHeight="1"/>
    <row r="771" ht="90.0" customHeight="1"/>
    <row r="772" ht="90.0" customHeight="1"/>
    <row r="773" ht="90.0" customHeight="1"/>
    <row r="774" ht="90.0" customHeight="1"/>
    <row r="775" ht="90.0" customHeight="1"/>
    <row r="776" ht="90.0" customHeight="1"/>
    <row r="777" ht="90.0" customHeight="1"/>
    <row r="778" ht="90.0" customHeight="1"/>
    <row r="779" ht="90.0" customHeight="1"/>
    <row r="780" ht="90.0" customHeight="1"/>
    <row r="781" ht="90.0" customHeight="1"/>
    <row r="782" ht="90.0" customHeight="1"/>
    <row r="783" ht="90.0" customHeight="1"/>
    <row r="784" ht="90.0" customHeight="1"/>
    <row r="785" ht="90.0" customHeight="1"/>
    <row r="786" ht="90.0" customHeight="1"/>
    <row r="787" ht="90.0" customHeight="1"/>
    <row r="788" ht="90.0" customHeight="1"/>
    <row r="789" ht="90.0" customHeight="1"/>
    <row r="790" ht="90.0" customHeight="1"/>
    <row r="791" ht="90.0" customHeight="1"/>
    <row r="792" ht="90.0" customHeight="1"/>
    <row r="793" ht="90.0" customHeight="1"/>
    <row r="794" ht="90.0" customHeight="1"/>
    <row r="795" ht="90.0" customHeight="1"/>
    <row r="796" ht="90.0" customHeight="1"/>
    <row r="797" ht="90.0" customHeight="1"/>
    <row r="798" ht="90.0" customHeight="1"/>
    <row r="799" ht="90.0" customHeight="1"/>
    <row r="800" ht="90.0" customHeight="1"/>
    <row r="801" ht="90.0" customHeight="1"/>
    <row r="802" ht="90.0" customHeight="1"/>
    <row r="803" ht="90.0" customHeight="1"/>
    <row r="804" ht="90.0" customHeight="1"/>
    <row r="805" ht="90.0" customHeight="1"/>
    <row r="806" ht="90.0" customHeight="1"/>
    <row r="807" ht="90.0" customHeight="1"/>
    <row r="808" ht="90.0" customHeight="1"/>
    <row r="809" ht="90.0" customHeight="1"/>
    <row r="810" ht="90.0" customHeight="1"/>
    <row r="811" ht="90.0" customHeight="1"/>
    <row r="812" ht="90.0" customHeight="1"/>
    <row r="813" ht="90.0" customHeight="1"/>
    <row r="814" ht="90.0" customHeight="1"/>
    <row r="815" ht="90.0" customHeight="1"/>
    <row r="816" ht="90.0" customHeight="1"/>
    <row r="817" ht="90.0" customHeight="1"/>
    <row r="818" ht="90.0" customHeight="1"/>
    <row r="819" ht="90.0" customHeight="1"/>
    <row r="820" ht="90.0" customHeight="1"/>
    <row r="821" ht="90.0" customHeight="1"/>
    <row r="822" ht="90.0" customHeight="1"/>
    <row r="823" ht="90.0" customHeight="1"/>
    <row r="824" ht="90.0" customHeight="1"/>
    <row r="825" ht="90.0" customHeight="1"/>
    <row r="826" ht="90.0" customHeight="1"/>
    <row r="827" ht="90.0" customHeight="1"/>
    <row r="828" ht="90.0" customHeight="1"/>
    <row r="829" ht="90.0" customHeight="1"/>
    <row r="830" ht="90.0" customHeight="1"/>
    <row r="831" ht="90.0" customHeight="1"/>
    <row r="832" ht="90.0" customHeight="1"/>
    <row r="833" ht="90.0" customHeight="1"/>
    <row r="834" ht="90.0" customHeight="1"/>
    <row r="835" ht="90.0" customHeight="1"/>
    <row r="836" ht="90.0" customHeight="1"/>
    <row r="837" ht="90.0" customHeight="1"/>
    <row r="838" ht="90.0" customHeight="1"/>
    <row r="839" ht="90.0" customHeight="1"/>
    <row r="840" ht="90.0" customHeight="1"/>
    <row r="841" ht="90.0" customHeight="1"/>
    <row r="842" ht="90.0" customHeight="1"/>
    <row r="843" ht="90.0" customHeight="1"/>
    <row r="844" ht="90.0" customHeight="1"/>
    <row r="845" ht="90.0" customHeight="1"/>
    <row r="846" ht="90.0" customHeight="1"/>
    <row r="847" ht="90.0" customHeight="1"/>
    <row r="848" ht="90.0" customHeight="1"/>
    <row r="849" ht="90.0" customHeight="1"/>
    <row r="850" ht="90.0" customHeight="1"/>
    <row r="851" ht="90.0" customHeight="1"/>
    <row r="852" ht="90.0" customHeight="1"/>
    <row r="853" ht="90.0" customHeight="1"/>
    <row r="854" ht="90.0" customHeight="1"/>
    <row r="855" ht="90.0" customHeight="1"/>
    <row r="856" ht="90.0" customHeight="1"/>
    <row r="857" ht="90.0" customHeight="1"/>
    <row r="858" ht="90.0" customHeight="1"/>
    <row r="859" ht="90.0" customHeight="1"/>
    <row r="860" ht="90.0" customHeight="1"/>
    <row r="861" ht="90.0" customHeight="1"/>
    <row r="862" ht="90.0" customHeight="1"/>
    <row r="863" ht="90.0" customHeight="1"/>
    <row r="864" ht="90.0" customHeight="1"/>
    <row r="865" ht="90.0" customHeight="1"/>
    <row r="866" ht="90.0" customHeight="1"/>
    <row r="867" ht="90.0" customHeight="1"/>
    <row r="868" ht="90.0" customHeight="1"/>
    <row r="869" ht="90.0" customHeight="1"/>
    <row r="870" ht="90.0" customHeight="1"/>
    <row r="871" ht="90.0" customHeight="1"/>
    <row r="872" ht="90.0" customHeight="1"/>
    <row r="873" ht="90.0" customHeight="1"/>
    <row r="874" ht="90.0" customHeight="1"/>
    <row r="875" ht="90.0" customHeight="1"/>
    <row r="876" ht="90.0" customHeight="1"/>
    <row r="877" ht="90.0" customHeight="1"/>
    <row r="878" ht="90.0" customHeight="1"/>
    <row r="879" ht="90.0" customHeight="1"/>
    <row r="880" ht="90.0" customHeight="1"/>
    <row r="881" ht="90.0" customHeight="1"/>
    <row r="882" ht="90.0" customHeight="1"/>
    <row r="883" ht="90.0" customHeight="1"/>
    <row r="884" ht="90.0" customHeight="1"/>
    <row r="885" ht="90.0" customHeight="1"/>
    <row r="886" ht="90.0" customHeight="1"/>
    <row r="887" ht="90.0" customHeight="1"/>
    <row r="888" ht="90.0" customHeight="1"/>
    <row r="889" ht="90.0" customHeight="1"/>
    <row r="890" ht="90.0" customHeight="1"/>
    <row r="891" ht="90.0" customHeight="1"/>
    <row r="892" ht="90.0" customHeight="1"/>
    <row r="893" ht="90.0" customHeight="1"/>
    <row r="894" ht="90.0" customHeight="1"/>
    <row r="895" ht="90.0" customHeight="1"/>
    <row r="896" ht="90.0" customHeight="1"/>
    <row r="897" ht="90.0" customHeight="1"/>
    <row r="898" ht="90.0" customHeight="1"/>
    <row r="899" ht="90.0" customHeight="1"/>
    <row r="900" ht="90.0" customHeight="1"/>
    <row r="901" ht="90.0" customHeight="1"/>
    <row r="902" ht="90.0" customHeight="1"/>
    <row r="903" ht="90.0" customHeight="1"/>
    <row r="904" ht="90.0" customHeight="1"/>
    <row r="905" ht="90.0" customHeight="1"/>
    <row r="906" ht="90.0" customHeight="1"/>
    <row r="907" ht="90.0" customHeight="1"/>
    <row r="908" ht="90.0" customHeight="1"/>
    <row r="909" ht="90.0" customHeight="1"/>
    <row r="910" ht="90.0" customHeight="1"/>
    <row r="911" ht="90.0" customHeight="1"/>
    <row r="912" ht="90.0" customHeight="1"/>
    <row r="913" ht="90.0" customHeight="1"/>
    <row r="914" ht="90.0" customHeight="1"/>
    <row r="915" ht="90.0" customHeight="1"/>
    <row r="916" ht="90.0" customHeight="1"/>
    <row r="917" ht="90.0" customHeight="1"/>
    <row r="918" ht="90.0" customHeight="1"/>
    <row r="919" ht="90.0" customHeight="1"/>
    <row r="920" ht="90.0" customHeight="1"/>
    <row r="921" ht="90.0" customHeight="1"/>
    <row r="922" ht="90.0" customHeight="1"/>
    <row r="923" ht="90.0" customHeight="1"/>
    <row r="924" ht="90.0" customHeight="1"/>
    <row r="925" ht="90.0" customHeight="1"/>
    <row r="926" ht="90.0" customHeight="1"/>
    <row r="927" ht="90.0" customHeight="1"/>
    <row r="928" ht="90.0" customHeight="1"/>
    <row r="929" ht="90.0" customHeight="1"/>
    <row r="930" ht="90.0" customHeight="1"/>
    <row r="931" ht="90.0" customHeight="1"/>
    <row r="932" ht="90.0" customHeight="1"/>
    <row r="933" ht="90.0" customHeight="1"/>
    <row r="934" ht="90.0" customHeight="1"/>
    <row r="935" ht="90.0" customHeight="1"/>
    <row r="936" ht="90.0" customHeight="1"/>
    <row r="937" ht="90.0" customHeight="1"/>
    <row r="938" ht="90.0" customHeight="1"/>
    <row r="939" ht="90.0" customHeight="1"/>
    <row r="940" ht="90.0" customHeight="1"/>
    <row r="941" ht="90.0" customHeight="1"/>
    <row r="942" ht="90.0" customHeight="1"/>
    <row r="943" ht="90.0" customHeight="1"/>
    <row r="944" ht="90.0" customHeight="1"/>
    <row r="945" ht="90.0" customHeight="1"/>
    <row r="946" ht="90.0" customHeight="1"/>
    <row r="947" ht="90.0" customHeight="1"/>
    <row r="948" ht="90.0" customHeight="1"/>
    <row r="949" ht="90.0" customHeight="1"/>
    <row r="950" ht="90.0" customHeight="1"/>
    <row r="951" ht="90.0" customHeight="1"/>
    <row r="952" ht="90.0" customHeight="1"/>
    <row r="953" ht="90.0" customHeight="1"/>
    <row r="954" ht="90.0" customHeight="1"/>
    <row r="955" ht="90.0" customHeight="1"/>
    <row r="956" ht="90.0" customHeight="1"/>
    <row r="957" ht="90.0" customHeight="1"/>
    <row r="958" ht="90.0" customHeight="1"/>
    <row r="959" ht="90.0" customHeight="1"/>
    <row r="960" ht="90.0" customHeight="1"/>
    <row r="961" ht="90.0" customHeight="1"/>
    <row r="962" ht="90.0" customHeight="1"/>
    <row r="963" ht="90.0" customHeight="1"/>
    <row r="964" ht="90.0" customHeight="1"/>
    <row r="965" ht="90.0" customHeight="1"/>
    <row r="966" ht="90.0" customHeight="1"/>
    <row r="967" ht="90.0" customHeight="1"/>
    <row r="968" ht="90.0" customHeight="1"/>
    <row r="969" ht="90.0" customHeight="1"/>
    <row r="970" ht="90.0" customHeight="1"/>
    <row r="971" ht="90.0" customHeight="1"/>
    <row r="972" ht="90.0" customHeight="1"/>
    <row r="973" ht="90.0" customHeight="1"/>
    <row r="974" ht="90.0" customHeight="1"/>
    <row r="975" ht="90.0" customHeight="1"/>
    <row r="976" ht="90.0" customHeight="1"/>
    <row r="977" ht="90.0" customHeight="1"/>
    <row r="978" ht="90.0" customHeight="1"/>
    <row r="979" ht="90.0" customHeight="1"/>
    <row r="980" ht="90.0" customHeight="1"/>
    <row r="981" ht="90.0" customHeight="1"/>
    <row r="982" ht="90.0" customHeight="1"/>
    <row r="983" ht="90.0" customHeight="1"/>
    <row r="984" ht="90.0" customHeight="1"/>
    <row r="985" ht="90.0" customHeight="1"/>
    <row r="986" ht="90.0" customHeight="1"/>
    <row r="987" ht="90.0" customHeight="1"/>
    <row r="988" ht="90.0" customHeight="1"/>
    <row r="989" ht="90.0" customHeight="1"/>
    <row r="990" ht="90.0" customHeight="1"/>
    <row r="991" ht="90.0" customHeight="1"/>
    <row r="992" ht="90.0" customHeight="1"/>
    <row r="993" ht="90.0" customHeight="1"/>
    <row r="994" ht="90.0" customHeight="1"/>
    <row r="995" ht="90.0" customHeight="1"/>
    <row r="996" ht="90.0" customHeight="1"/>
    <row r="997" ht="90.0" customHeight="1"/>
    <row r="998" ht="90.0" customHeight="1"/>
    <row r="999" ht="90.0" customHeight="1"/>
    <row r="1000" ht="90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4" t="s">
        <v>161</v>
      </c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4" t="s">
        <v>39</v>
      </c>
      <c r="K1" s="24" t="s">
        <v>40</v>
      </c>
      <c r="L1" s="24" t="s">
        <v>41</v>
      </c>
      <c r="M1" s="24" t="s">
        <v>42</v>
      </c>
      <c r="N1" s="24" t="s">
        <v>43</v>
      </c>
      <c r="O1" s="24" t="s">
        <v>44</v>
      </c>
      <c r="P1" s="24" t="s">
        <v>45</v>
      </c>
      <c r="Q1" s="24" t="s">
        <v>46</v>
      </c>
      <c r="R1" s="24" t="s">
        <v>47</v>
      </c>
      <c r="S1" s="24" t="s">
        <v>48</v>
      </c>
      <c r="T1" s="24" t="s">
        <v>49</v>
      </c>
    </row>
    <row r="2" ht="90.0" customHeight="1">
      <c r="A2" s="25"/>
      <c r="D2" s="24">
        <v>6500000.0</v>
      </c>
      <c r="E2" s="24">
        <v>220000.0</v>
      </c>
      <c r="F2" s="24">
        <v>2500.0</v>
      </c>
      <c r="G2" s="24">
        <v>200.0</v>
      </c>
      <c r="H2" s="24">
        <f>7*F2</f>
        <v>17500</v>
      </c>
      <c r="I2" s="25">
        <f>60*F2/G2</f>
        <v>750</v>
      </c>
      <c r="J2" s="25">
        <f>50*40*52/1000000*2*D2/G2</f>
        <v>6760</v>
      </c>
      <c r="K2" s="25">
        <f>11*2*E2/G2</f>
        <v>24200</v>
      </c>
      <c r="L2" s="24">
        <v>4000.0</v>
      </c>
      <c r="M2" s="25">
        <f t="shared" ref="M2:M36" si="1">H2+I2+J2+L2</f>
        <v>29010</v>
      </c>
      <c r="N2" s="25">
        <f t="shared" ref="N2:N5" si="2">H2+I2+K2+L2</f>
        <v>46450</v>
      </c>
      <c r="O2" s="24"/>
      <c r="P2" s="24"/>
      <c r="Q2" s="24">
        <v>7000.0</v>
      </c>
      <c r="R2" s="25">
        <f t="shared" ref="R2:R5" si="3">M2+Q2</f>
        <v>36010</v>
      </c>
      <c r="S2" s="25">
        <f t="shared" ref="S2:S5" si="4">N2+Q2</f>
        <v>53450</v>
      </c>
    </row>
    <row r="3" ht="90.0" customHeight="1">
      <c r="A3" s="25"/>
      <c r="D3" s="24">
        <v>6500000.0</v>
      </c>
      <c r="E3" s="24">
        <v>220000.0</v>
      </c>
      <c r="F3" s="24">
        <v>2500.0</v>
      </c>
      <c r="G3" s="24">
        <v>48.0</v>
      </c>
      <c r="H3" s="24">
        <f>24.5*F3</f>
        <v>61250</v>
      </c>
      <c r="I3" s="25">
        <f t="shared" ref="I3:I7" si="5">2*F3</f>
        <v>5000</v>
      </c>
      <c r="J3" s="25">
        <f>45*38*51/1000000*6*D3/G3</f>
        <v>70858.125</v>
      </c>
      <c r="K3" s="25">
        <f>10*6*E3/G3</f>
        <v>275000</v>
      </c>
      <c r="L3" s="24">
        <v>5000.0</v>
      </c>
      <c r="M3" s="25">
        <f t="shared" si="1"/>
        <v>142108.125</v>
      </c>
      <c r="N3" s="25">
        <f t="shared" si="2"/>
        <v>346250</v>
      </c>
      <c r="R3" s="25">
        <f t="shared" si="3"/>
        <v>142108.125</v>
      </c>
      <c r="S3" s="25">
        <f t="shared" si="4"/>
        <v>346250</v>
      </c>
    </row>
    <row r="4" ht="90.0" customHeight="1">
      <c r="A4" s="25"/>
      <c r="D4" s="24">
        <v>6300000.0</v>
      </c>
      <c r="E4" s="24">
        <v>220000.0</v>
      </c>
      <c r="F4" s="24">
        <v>2500.0</v>
      </c>
      <c r="G4" s="24">
        <v>48.0</v>
      </c>
      <c r="H4" s="24">
        <f>75*F4</f>
        <v>187500</v>
      </c>
      <c r="I4" s="25">
        <f t="shared" si="5"/>
        <v>5000</v>
      </c>
      <c r="J4" s="25">
        <f>56.5*47.5*41/1000000*8*D4/G4</f>
        <v>115535.4375</v>
      </c>
      <c r="K4" s="25">
        <f>11.5*8*E4/G4</f>
        <v>421666.6667</v>
      </c>
      <c r="L4" s="24">
        <v>5000.0</v>
      </c>
      <c r="M4" s="25">
        <f t="shared" si="1"/>
        <v>313035.4375</v>
      </c>
      <c r="N4" s="25">
        <f t="shared" si="2"/>
        <v>619166.6667</v>
      </c>
      <c r="R4" s="25">
        <f t="shared" si="3"/>
        <v>313035.4375</v>
      </c>
      <c r="S4" s="25">
        <f t="shared" si="4"/>
        <v>619166.6667</v>
      </c>
    </row>
    <row r="5" ht="90.0" customHeight="1">
      <c r="A5" s="25"/>
      <c r="C5" s="32"/>
      <c r="D5" s="24">
        <v>6300000.0</v>
      </c>
      <c r="E5" s="24">
        <v>220000.0</v>
      </c>
      <c r="F5" s="24">
        <v>2500.0</v>
      </c>
      <c r="G5" s="24">
        <v>48.0</v>
      </c>
      <c r="H5" s="24">
        <f>113*F5</f>
        <v>282500</v>
      </c>
      <c r="I5" s="25">
        <f t="shared" si="5"/>
        <v>5000</v>
      </c>
      <c r="J5" s="25">
        <f>44*36*40/1000000*8*D5/G5</f>
        <v>66528</v>
      </c>
      <c r="K5" s="25">
        <f>14*8*E5/G5</f>
        <v>513333.3333</v>
      </c>
      <c r="L5" s="24">
        <v>5000.0</v>
      </c>
      <c r="M5" s="25">
        <f t="shared" si="1"/>
        <v>359028</v>
      </c>
      <c r="N5" s="25">
        <f t="shared" si="2"/>
        <v>805833.3333</v>
      </c>
      <c r="R5" s="25">
        <f t="shared" si="3"/>
        <v>359028</v>
      </c>
      <c r="S5" s="25">
        <f t="shared" si="4"/>
        <v>805833.3333</v>
      </c>
    </row>
    <row r="6" ht="90.0" customHeight="1">
      <c r="A6" s="25"/>
      <c r="C6" s="32"/>
      <c r="D6" s="24">
        <v>100000.0</v>
      </c>
      <c r="F6" s="24">
        <v>2500.0</v>
      </c>
      <c r="G6" s="24">
        <v>50.0</v>
      </c>
      <c r="H6" s="24">
        <f>350*F6</f>
        <v>875000</v>
      </c>
      <c r="I6" s="25">
        <f t="shared" si="5"/>
        <v>5000</v>
      </c>
      <c r="J6" s="25">
        <f t="shared" ref="J6:J7" si="7">30*36*23/4000*D6</f>
        <v>621000</v>
      </c>
      <c r="L6" s="24">
        <v>10000.0</v>
      </c>
      <c r="M6" s="25">
        <f t="shared" si="1"/>
        <v>1511000</v>
      </c>
      <c r="O6" s="24">
        <f t="shared" ref="O6:P6" si="6">2*M6/100</f>
        <v>30220</v>
      </c>
      <c r="P6" s="24">
        <f t="shared" si="6"/>
        <v>0</v>
      </c>
      <c r="Q6" s="24">
        <v>10000.0</v>
      </c>
      <c r="R6" s="25">
        <f t="shared" ref="R6:R36" si="9">M6+O6+Q6</f>
        <v>1551220</v>
      </c>
      <c r="S6" s="25">
        <f t="shared" ref="S6:S11" si="10">N6+P6+Q6</f>
        <v>10000</v>
      </c>
      <c r="T6" s="24" t="s">
        <v>50</v>
      </c>
    </row>
    <row r="7" ht="90.0" customHeight="1">
      <c r="A7" s="25"/>
      <c r="C7" s="32"/>
      <c r="D7" s="24">
        <v>100000.0</v>
      </c>
      <c r="F7" s="24">
        <v>2500.0</v>
      </c>
      <c r="G7" s="24">
        <v>200.0</v>
      </c>
      <c r="H7" s="24">
        <f>300*F7</f>
        <v>750000</v>
      </c>
      <c r="I7" s="25">
        <f t="shared" si="5"/>
        <v>5000</v>
      </c>
      <c r="J7" s="25">
        <f t="shared" si="7"/>
        <v>621000</v>
      </c>
      <c r="L7" s="24">
        <v>10000.0</v>
      </c>
      <c r="M7" s="25">
        <f t="shared" si="1"/>
        <v>1386000</v>
      </c>
      <c r="O7" s="24">
        <f t="shared" ref="O7:P7" si="8">2*M7/100</f>
        <v>27720</v>
      </c>
      <c r="P7" s="24">
        <f t="shared" si="8"/>
        <v>0</v>
      </c>
      <c r="Q7" s="24">
        <v>10000.0</v>
      </c>
      <c r="R7" s="25">
        <f t="shared" si="9"/>
        <v>1423720</v>
      </c>
      <c r="S7" s="25">
        <f t="shared" si="10"/>
        <v>10000</v>
      </c>
      <c r="T7" s="24" t="s">
        <v>51</v>
      </c>
    </row>
    <row r="8" ht="90.0" customHeight="1">
      <c r="A8" s="25"/>
      <c r="C8" s="32"/>
      <c r="D8" s="24">
        <v>4500000.0</v>
      </c>
      <c r="E8" s="24">
        <v>220000.0</v>
      </c>
      <c r="F8" s="24">
        <v>2500.0</v>
      </c>
      <c r="G8" s="24">
        <v>600.0</v>
      </c>
      <c r="H8" s="24">
        <f>2.8*F8</f>
        <v>7000</v>
      </c>
      <c r="I8" s="25">
        <f>80*F8/G8</f>
        <v>333.3333333</v>
      </c>
      <c r="J8" s="25">
        <f>60*42*50/1000000*2*D8/G8</f>
        <v>1890</v>
      </c>
      <c r="K8" s="25">
        <f>60*42*50/6000*2*E8/G8</f>
        <v>15400</v>
      </c>
      <c r="L8" s="24">
        <v>2000.0</v>
      </c>
      <c r="M8" s="25">
        <f t="shared" si="1"/>
        <v>11223.33333</v>
      </c>
      <c r="N8" s="25">
        <f t="shared" ref="N8:N11" si="12">H8+I8+K8+L8</f>
        <v>24733.33333</v>
      </c>
      <c r="O8" s="24">
        <f t="shared" ref="O8:P8" si="11">2*M8/100</f>
        <v>224.4666667</v>
      </c>
      <c r="P8" s="24">
        <f t="shared" si="11"/>
        <v>494.6666667</v>
      </c>
      <c r="Q8" s="24">
        <v>1000.0</v>
      </c>
      <c r="R8" s="25">
        <f t="shared" si="9"/>
        <v>12447.8</v>
      </c>
      <c r="S8" s="25">
        <f t="shared" si="10"/>
        <v>26228</v>
      </c>
    </row>
    <row r="9" ht="90.0" customHeight="1">
      <c r="A9" s="25"/>
      <c r="C9" s="32"/>
      <c r="D9" s="24">
        <v>5500000.0</v>
      </c>
      <c r="E9" s="24">
        <v>220000.0</v>
      </c>
      <c r="F9" s="24">
        <v>2500.0</v>
      </c>
      <c r="G9" s="24">
        <v>30.0</v>
      </c>
      <c r="H9" s="24">
        <f>85*F9</f>
        <v>212500</v>
      </c>
      <c r="I9" s="24">
        <f>10*F9</f>
        <v>25000</v>
      </c>
      <c r="J9" s="25">
        <f>0.4*D9/G9</f>
        <v>73333.33333</v>
      </c>
      <c r="K9" s="25">
        <f>60*E9/G9</f>
        <v>440000</v>
      </c>
      <c r="L9" s="24">
        <v>10000.0</v>
      </c>
      <c r="M9" s="25">
        <f t="shared" si="1"/>
        <v>320833.3333</v>
      </c>
      <c r="N9" s="25">
        <f t="shared" si="12"/>
        <v>687500</v>
      </c>
      <c r="O9" s="24">
        <f t="shared" ref="O9:P9" si="13">2*M9/100</f>
        <v>6416.666667</v>
      </c>
      <c r="P9" s="24">
        <f t="shared" si="13"/>
        <v>13750</v>
      </c>
      <c r="Q9" s="24">
        <v>50000.0</v>
      </c>
      <c r="R9" s="25">
        <f t="shared" si="9"/>
        <v>377250</v>
      </c>
      <c r="S9" s="25">
        <f t="shared" si="10"/>
        <v>751250</v>
      </c>
    </row>
    <row r="10" ht="90.0" customHeight="1">
      <c r="A10" s="25"/>
      <c r="C10" s="32"/>
      <c r="D10" s="24">
        <v>5500000.0</v>
      </c>
      <c r="F10" s="24">
        <v>2500.0</v>
      </c>
      <c r="G10" s="24">
        <v>2.0</v>
      </c>
      <c r="H10" s="24">
        <f>318*F10</f>
        <v>795000</v>
      </c>
      <c r="I10" s="24">
        <f>300*F10</f>
        <v>750000</v>
      </c>
      <c r="J10" s="25">
        <f t="shared" ref="J10:J11" si="15">10*100*100/1000000*D10/G10</f>
        <v>275000</v>
      </c>
      <c r="K10" s="25">
        <f t="shared" ref="K10:K11" si="16">8*E10/G10</f>
        <v>0</v>
      </c>
      <c r="L10" s="24">
        <v>50000.0</v>
      </c>
      <c r="M10" s="25">
        <f t="shared" si="1"/>
        <v>1870000</v>
      </c>
      <c r="N10" s="25">
        <f t="shared" si="12"/>
        <v>1595000</v>
      </c>
      <c r="O10" s="24">
        <f t="shared" ref="O10:P10" si="14">2*M10/100</f>
        <v>37400</v>
      </c>
      <c r="P10" s="24">
        <f t="shared" si="14"/>
        <v>31900</v>
      </c>
      <c r="Q10" s="24">
        <v>150000.0</v>
      </c>
      <c r="R10" s="25">
        <f t="shared" si="9"/>
        <v>2057400</v>
      </c>
      <c r="S10" s="25">
        <f t="shared" si="10"/>
        <v>1776900</v>
      </c>
    </row>
    <row r="11" ht="90.0" customHeight="1">
      <c r="A11" s="25"/>
      <c r="C11" s="32"/>
      <c r="D11" s="24">
        <v>5500000.0</v>
      </c>
      <c r="E11" s="24">
        <v>220000.0</v>
      </c>
      <c r="F11" s="24">
        <v>2500.0</v>
      </c>
      <c r="G11" s="24">
        <v>2.0</v>
      </c>
      <c r="H11" s="24">
        <f>305*F11</f>
        <v>762500</v>
      </c>
      <c r="I11" s="24">
        <f>25*F11</f>
        <v>62500</v>
      </c>
      <c r="J11" s="25">
        <f t="shared" si="15"/>
        <v>275000</v>
      </c>
      <c r="K11" s="25">
        <f t="shared" si="16"/>
        <v>880000</v>
      </c>
      <c r="L11" s="24">
        <v>50000.0</v>
      </c>
      <c r="M11" s="25">
        <f t="shared" si="1"/>
        <v>1150000</v>
      </c>
      <c r="N11" s="25">
        <f t="shared" si="12"/>
        <v>1755000</v>
      </c>
      <c r="O11" s="24">
        <f t="shared" ref="O11:P11" si="17">2*M11/100</f>
        <v>23000</v>
      </c>
      <c r="P11" s="24">
        <f t="shared" si="17"/>
        <v>35100</v>
      </c>
      <c r="Q11" s="24">
        <v>150000.0</v>
      </c>
      <c r="R11" s="25">
        <f t="shared" si="9"/>
        <v>1323000</v>
      </c>
      <c r="S11" s="25">
        <f t="shared" si="10"/>
        <v>1940100</v>
      </c>
    </row>
    <row r="12" ht="90.0" customHeight="1">
      <c r="A12" s="25"/>
      <c r="C12" s="32"/>
      <c r="H12" s="24">
        <v>220000.0</v>
      </c>
      <c r="I12" s="24">
        <v>60000.0</v>
      </c>
      <c r="L12" s="24">
        <v>20000.0</v>
      </c>
      <c r="M12" s="25">
        <f t="shared" si="1"/>
        <v>300000</v>
      </c>
      <c r="O12" s="24">
        <f t="shared" ref="O12:O36" si="18">2*M12/100</f>
        <v>6000</v>
      </c>
      <c r="Q12" s="24">
        <v>40000.0</v>
      </c>
      <c r="R12" s="25">
        <f t="shared" si="9"/>
        <v>346000</v>
      </c>
      <c r="T12" s="29" t="s">
        <v>162</v>
      </c>
    </row>
    <row r="13" ht="90.0" customHeight="1">
      <c r="A13" s="25"/>
      <c r="C13" s="32"/>
      <c r="H13" s="24">
        <v>282000.0</v>
      </c>
      <c r="I13" s="24">
        <v>60000.0</v>
      </c>
      <c r="L13" s="24">
        <v>20000.0</v>
      </c>
      <c r="M13" s="25">
        <f t="shared" si="1"/>
        <v>362000</v>
      </c>
      <c r="O13" s="24">
        <f t="shared" si="18"/>
        <v>7240</v>
      </c>
      <c r="Q13" s="24">
        <v>40000.0</v>
      </c>
      <c r="R13" s="25">
        <f t="shared" si="9"/>
        <v>409240</v>
      </c>
      <c r="T13" s="29" t="s">
        <v>163</v>
      </c>
    </row>
    <row r="14" ht="90.0" customHeight="1">
      <c r="A14" s="25"/>
      <c r="C14" s="32"/>
      <c r="H14" s="24">
        <v>120000.0</v>
      </c>
      <c r="I14" s="24">
        <v>60000.0</v>
      </c>
      <c r="L14" s="24">
        <v>20000.0</v>
      </c>
      <c r="M14" s="25">
        <f t="shared" si="1"/>
        <v>200000</v>
      </c>
      <c r="O14" s="24">
        <f t="shared" si="18"/>
        <v>4000</v>
      </c>
      <c r="Q14" s="24">
        <v>40000.0</v>
      </c>
      <c r="R14" s="25">
        <f t="shared" si="9"/>
        <v>244000</v>
      </c>
      <c r="T14" s="29" t="s">
        <v>164</v>
      </c>
    </row>
    <row r="15" ht="90.0" customHeight="1">
      <c r="A15" s="25"/>
      <c r="H15" s="24">
        <v>170000.0</v>
      </c>
      <c r="I15" s="24">
        <v>60000.0</v>
      </c>
      <c r="L15" s="24">
        <v>20000.0</v>
      </c>
      <c r="M15" s="25">
        <f t="shared" si="1"/>
        <v>250000</v>
      </c>
      <c r="O15" s="24">
        <f t="shared" si="18"/>
        <v>5000</v>
      </c>
      <c r="Q15" s="24">
        <v>40000.0</v>
      </c>
      <c r="R15" s="25">
        <f t="shared" si="9"/>
        <v>295000</v>
      </c>
      <c r="T15" s="29" t="s">
        <v>165</v>
      </c>
    </row>
    <row r="16" ht="90.0" customHeight="1">
      <c r="A16" s="25"/>
      <c r="H16" s="24">
        <v>263000.0</v>
      </c>
      <c r="I16" s="24">
        <v>60000.0</v>
      </c>
      <c r="L16" s="24">
        <v>20000.0</v>
      </c>
      <c r="M16" s="25">
        <f t="shared" si="1"/>
        <v>343000</v>
      </c>
      <c r="O16" s="24">
        <f t="shared" si="18"/>
        <v>6860</v>
      </c>
      <c r="Q16" s="24">
        <v>40000.0</v>
      </c>
      <c r="R16" s="25">
        <f t="shared" si="9"/>
        <v>389860</v>
      </c>
      <c r="T16" s="29" t="s">
        <v>166</v>
      </c>
    </row>
    <row r="17" ht="90.0" customHeight="1">
      <c r="A17" s="25"/>
      <c r="H17" s="24">
        <v>160000.0</v>
      </c>
      <c r="I17" s="24">
        <v>60000.0</v>
      </c>
      <c r="L17" s="24">
        <v>20000.0</v>
      </c>
      <c r="M17" s="25">
        <f t="shared" si="1"/>
        <v>240000</v>
      </c>
      <c r="O17" s="24">
        <f t="shared" si="18"/>
        <v>4800</v>
      </c>
      <c r="Q17" s="24">
        <v>40000.0</v>
      </c>
      <c r="R17" s="25">
        <f t="shared" si="9"/>
        <v>284800</v>
      </c>
      <c r="T17" s="29" t="s">
        <v>167</v>
      </c>
    </row>
    <row r="18" ht="90.0" customHeight="1">
      <c r="A18" s="25"/>
      <c r="D18" s="24">
        <v>5500000.0</v>
      </c>
      <c r="E18" s="24">
        <v>220000.0</v>
      </c>
      <c r="F18" s="24">
        <v>2500.0</v>
      </c>
      <c r="G18" s="24">
        <v>30.0</v>
      </c>
      <c r="H18" s="25">
        <f>285*F18</f>
        <v>712500</v>
      </c>
      <c r="I18" s="25">
        <f>150/G18*F18</f>
        <v>12500</v>
      </c>
      <c r="J18" s="25">
        <f>40*40*40*15/1000000*D18/G18</f>
        <v>176000</v>
      </c>
      <c r="K18" s="25">
        <f>(8*15*E18/G18)-J18</f>
        <v>704000</v>
      </c>
      <c r="L18" s="24">
        <v>50000.0</v>
      </c>
      <c r="M18" s="25">
        <f t="shared" si="1"/>
        <v>951000</v>
      </c>
      <c r="N18" s="25">
        <f t="shared" ref="N18:N34" si="19">H18+I18+K18+L18</f>
        <v>1479000</v>
      </c>
      <c r="O18" s="24">
        <f t="shared" si="18"/>
        <v>19020</v>
      </c>
      <c r="P18" s="24">
        <f t="shared" ref="P18:P34" si="20">2*N18/100</f>
        <v>29580</v>
      </c>
      <c r="Q18" s="24">
        <v>150000.0</v>
      </c>
      <c r="R18" s="25">
        <f t="shared" si="9"/>
        <v>1120020</v>
      </c>
      <c r="S18" s="25">
        <f t="shared" ref="S18:S34" si="21">N18+P18+Q18</f>
        <v>1658580</v>
      </c>
      <c r="V18" s="24">
        <v>1120000.0</v>
      </c>
      <c r="W18" s="24">
        <v>1660000.0</v>
      </c>
    </row>
    <row r="19" ht="90.0" customHeight="1">
      <c r="A19" s="25"/>
      <c r="D19" s="24">
        <v>5500000.0</v>
      </c>
      <c r="E19" s="24">
        <v>220000.0</v>
      </c>
      <c r="F19" s="24">
        <v>2500.0</v>
      </c>
      <c r="G19" s="24">
        <v>30.0</v>
      </c>
      <c r="J19" s="25">
        <f>(((50*50*50)+(55*55*55)+(55*55*55)+(50*50*50)+(50*50*50)+(50*50*50))/1000000)*D19/G19</f>
        <v>152670.8333</v>
      </c>
      <c r="K19" s="25">
        <f>(185*E19/G19)-J19</f>
        <v>1203995.833</v>
      </c>
      <c r="L19" s="24">
        <v>50000.0</v>
      </c>
      <c r="M19" s="25">
        <f t="shared" si="1"/>
        <v>202670.8333</v>
      </c>
      <c r="N19" s="25">
        <f t="shared" si="19"/>
        <v>1253995.833</v>
      </c>
      <c r="O19" s="24">
        <f t="shared" si="18"/>
        <v>4053.416667</v>
      </c>
      <c r="P19" s="24">
        <f t="shared" si="20"/>
        <v>25079.91667</v>
      </c>
      <c r="Q19" s="24">
        <v>150000.0</v>
      </c>
      <c r="R19" s="25">
        <f t="shared" si="9"/>
        <v>356724.25</v>
      </c>
      <c r="S19" s="25">
        <f t="shared" si="21"/>
        <v>1429075.75</v>
      </c>
    </row>
    <row r="20" ht="90.0" customHeight="1">
      <c r="A20" s="25"/>
      <c r="D20" s="24">
        <v>5500000.0</v>
      </c>
      <c r="E20" s="24">
        <v>220000.0</v>
      </c>
      <c r="F20" s="24">
        <v>2500.0</v>
      </c>
      <c r="G20" s="24">
        <v>30.0</v>
      </c>
      <c r="H20" s="25">
        <f>102*F20</f>
        <v>255000</v>
      </c>
      <c r="I20" s="25">
        <f t="shared" ref="I20:I25" si="22">10*F20</f>
        <v>25000</v>
      </c>
      <c r="J20" s="25">
        <f>50*50*50/1000000*D20/G20</f>
        <v>22916.66667</v>
      </c>
      <c r="K20" s="25">
        <f>(38*E20/G20)-J20</f>
        <v>255750</v>
      </c>
      <c r="L20" s="24">
        <v>50000.0</v>
      </c>
      <c r="M20" s="25">
        <f t="shared" si="1"/>
        <v>352916.6667</v>
      </c>
      <c r="N20" s="25">
        <f t="shared" si="19"/>
        <v>585750</v>
      </c>
      <c r="O20" s="24">
        <f t="shared" si="18"/>
        <v>7058.333333</v>
      </c>
      <c r="P20" s="24">
        <f t="shared" si="20"/>
        <v>11715</v>
      </c>
      <c r="Q20" s="24">
        <v>40000.0</v>
      </c>
      <c r="R20" s="25">
        <f t="shared" si="9"/>
        <v>399975</v>
      </c>
      <c r="S20" s="25">
        <f t="shared" si="21"/>
        <v>637465</v>
      </c>
      <c r="T20" s="24" t="s">
        <v>168</v>
      </c>
      <c r="V20" s="24">
        <v>400000.0</v>
      </c>
      <c r="W20" s="24">
        <v>640000.0</v>
      </c>
    </row>
    <row r="21" ht="90.0" customHeight="1">
      <c r="A21" s="25"/>
      <c r="D21" s="24">
        <v>5500000.0</v>
      </c>
      <c r="E21" s="24">
        <v>220000.0</v>
      </c>
      <c r="F21" s="24">
        <v>2500.0</v>
      </c>
      <c r="G21" s="24">
        <v>30.0</v>
      </c>
      <c r="H21" s="25">
        <f>157*F21</f>
        <v>392500</v>
      </c>
      <c r="I21" s="25">
        <f t="shared" si="22"/>
        <v>25000</v>
      </c>
      <c r="J21" s="25">
        <f>55*55*55/1000000*D21/G21</f>
        <v>30502.08333</v>
      </c>
      <c r="K21" s="25">
        <f>(43*E21/G21)-J21</f>
        <v>284831.25</v>
      </c>
      <c r="L21" s="24">
        <v>50000.0</v>
      </c>
      <c r="M21" s="25">
        <f t="shared" si="1"/>
        <v>498002.0833</v>
      </c>
      <c r="N21" s="25">
        <f t="shared" si="19"/>
        <v>752331.25</v>
      </c>
      <c r="O21" s="24">
        <f t="shared" si="18"/>
        <v>9960.041667</v>
      </c>
      <c r="P21" s="24">
        <f t="shared" si="20"/>
        <v>15046.625</v>
      </c>
      <c r="Q21" s="24">
        <v>40000.0</v>
      </c>
      <c r="R21" s="25">
        <f t="shared" si="9"/>
        <v>547962.125</v>
      </c>
      <c r="S21" s="25">
        <f t="shared" si="21"/>
        <v>807377.875</v>
      </c>
      <c r="T21" s="24" t="s">
        <v>169</v>
      </c>
      <c r="V21" s="24">
        <v>550000.0</v>
      </c>
      <c r="W21" s="24">
        <v>810000.0</v>
      </c>
    </row>
    <row r="22" ht="90.0" customHeight="1">
      <c r="A22" s="25"/>
      <c r="D22" s="24">
        <v>5500000.0</v>
      </c>
      <c r="E22" s="24">
        <v>220000.0</v>
      </c>
      <c r="F22" s="24">
        <v>2500.0</v>
      </c>
      <c r="G22" s="24">
        <v>30.0</v>
      </c>
      <c r="H22" s="25">
        <f>173*F22</f>
        <v>432500</v>
      </c>
      <c r="I22" s="25">
        <f t="shared" si="22"/>
        <v>25000</v>
      </c>
      <c r="J22" s="25">
        <f>50*50*50*2/1000000*D22/G22</f>
        <v>45833.33333</v>
      </c>
      <c r="K22" s="25">
        <f>(69*E22/G22)-J22</f>
        <v>460166.6667</v>
      </c>
      <c r="L22" s="24">
        <v>50000.0</v>
      </c>
      <c r="M22" s="25">
        <f t="shared" si="1"/>
        <v>553333.3333</v>
      </c>
      <c r="N22" s="25">
        <f t="shared" si="19"/>
        <v>967666.6667</v>
      </c>
      <c r="O22" s="24">
        <f t="shared" si="18"/>
        <v>11066.66667</v>
      </c>
      <c r="P22" s="24">
        <f t="shared" si="20"/>
        <v>19353.33333</v>
      </c>
      <c r="Q22" s="24">
        <v>40000.0</v>
      </c>
      <c r="R22" s="25">
        <f t="shared" si="9"/>
        <v>604400</v>
      </c>
      <c r="S22" s="25">
        <f t="shared" si="21"/>
        <v>1027020</v>
      </c>
      <c r="T22" s="24" t="s">
        <v>170</v>
      </c>
      <c r="V22" s="24">
        <v>610000.0</v>
      </c>
      <c r="W22" s="24">
        <v>1030000.0</v>
      </c>
    </row>
    <row r="23" ht="90.0" customHeight="1">
      <c r="A23" s="25"/>
      <c r="D23" s="24">
        <v>5500000.0</v>
      </c>
      <c r="E23" s="24">
        <v>220000.0</v>
      </c>
      <c r="F23" s="24">
        <v>2500.0</v>
      </c>
      <c r="G23" s="24">
        <v>30.0</v>
      </c>
      <c r="H23" s="25">
        <f>184*F23</f>
        <v>460000</v>
      </c>
      <c r="I23" s="25">
        <f t="shared" si="22"/>
        <v>25000</v>
      </c>
      <c r="J23" s="25">
        <f>55*55*55*2/1000000*D23/G23</f>
        <v>61004.16667</v>
      </c>
      <c r="K23" s="25">
        <f>(74*E23/G23)-J23</f>
        <v>481662.5</v>
      </c>
      <c r="L23" s="24">
        <v>50000.0</v>
      </c>
      <c r="M23" s="25">
        <f t="shared" si="1"/>
        <v>596004.1667</v>
      </c>
      <c r="N23" s="25">
        <f t="shared" si="19"/>
        <v>1016662.5</v>
      </c>
      <c r="O23" s="24">
        <f t="shared" si="18"/>
        <v>11920.08333</v>
      </c>
      <c r="P23" s="24">
        <f t="shared" si="20"/>
        <v>20333.25</v>
      </c>
      <c r="Q23" s="24">
        <v>40000.0</v>
      </c>
      <c r="R23" s="25">
        <f t="shared" si="9"/>
        <v>647924.25</v>
      </c>
      <c r="S23" s="25">
        <f t="shared" si="21"/>
        <v>1076995.75</v>
      </c>
      <c r="T23" s="24" t="s">
        <v>171</v>
      </c>
      <c r="V23" s="24">
        <v>650000.0</v>
      </c>
      <c r="W23" s="24">
        <v>1080000.0</v>
      </c>
    </row>
    <row r="24" ht="90.0" customHeight="1">
      <c r="A24" s="25"/>
      <c r="D24" s="24">
        <v>5500000.0</v>
      </c>
      <c r="E24" s="24">
        <v>220000.0</v>
      </c>
      <c r="F24" s="24">
        <v>2500.0</v>
      </c>
      <c r="G24" s="24">
        <v>30.0</v>
      </c>
      <c r="H24" s="25">
        <f>70*F24</f>
        <v>175000</v>
      </c>
      <c r="I24" s="25">
        <f t="shared" si="22"/>
        <v>25000</v>
      </c>
      <c r="J24" s="25">
        <f>60*60*60/1000000*D24/G24</f>
        <v>39600</v>
      </c>
      <c r="K24" s="25">
        <f>(15*E24/G24)-J24</f>
        <v>70400</v>
      </c>
      <c r="L24" s="24">
        <v>50000.0</v>
      </c>
      <c r="M24" s="25">
        <f t="shared" si="1"/>
        <v>289600</v>
      </c>
      <c r="N24" s="25">
        <f t="shared" si="19"/>
        <v>320400</v>
      </c>
      <c r="O24" s="24">
        <f t="shared" si="18"/>
        <v>5792</v>
      </c>
      <c r="P24" s="24">
        <f t="shared" si="20"/>
        <v>6408</v>
      </c>
      <c r="Q24" s="24">
        <v>40000.0</v>
      </c>
      <c r="R24" s="25">
        <f t="shared" si="9"/>
        <v>335392</v>
      </c>
      <c r="S24" s="25">
        <f t="shared" si="21"/>
        <v>366808</v>
      </c>
      <c r="T24" s="24" t="s">
        <v>172</v>
      </c>
      <c r="V24" s="24">
        <v>340000.0</v>
      </c>
      <c r="W24" s="24">
        <v>370000.0</v>
      </c>
    </row>
    <row r="25" ht="90.0" customHeight="1">
      <c r="A25" s="25"/>
      <c r="D25" s="24">
        <v>5500000.0</v>
      </c>
      <c r="E25" s="24">
        <v>220000.0</v>
      </c>
      <c r="F25" s="24">
        <v>2500.0</v>
      </c>
      <c r="G25" s="24">
        <v>30.0</v>
      </c>
      <c r="H25" s="25">
        <f>91*F25</f>
        <v>227500</v>
      </c>
      <c r="I25" s="25">
        <f t="shared" si="22"/>
        <v>25000</v>
      </c>
      <c r="J25" s="25">
        <f>80*80*80/1000000*D25/G25</f>
        <v>93866.66667</v>
      </c>
      <c r="K25" s="25">
        <f>(18*E25/G25)-J25</f>
        <v>38133.33333</v>
      </c>
      <c r="L25" s="24">
        <v>50000.0</v>
      </c>
      <c r="M25" s="25">
        <f t="shared" si="1"/>
        <v>396366.6667</v>
      </c>
      <c r="N25" s="25">
        <f t="shared" si="19"/>
        <v>340633.3333</v>
      </c>
      <c r="O25" s="24">
        <f t="shared" si="18"/>
        <v>7927.333333</v>
      </c>
      <c r="P25" s="24">
        <f t="shared" si="20"/>
        <v>6812.666667</v>
      </c>
      <c r="Q25" s="24">
        <v>40000.0</v>
      </c>
      <c r="R25" s="25">
        <f t="shared" si="9"/>
        <v>444294</v>
      </c>
      <c r="S25" s="25">
        <f t="shared" si="21"/>
        <v>387446</v>
      </c>
      <c r="T25" s="24" t="s">
        <v>173</v>
      </c>
      <c r="V25" s="24">
        <v>450000.0</v>
      </c>
      <c r="W25" s="24">
        <v>390000.0</v>
      </c>
    </row>
    <row r="26" ht="90.0" customHeight="1">
      <c r="A26" s="25"/>
      <c r="D26" s="24">
        <v>7000000.0</v>
      </c>
      <c r="E26" s="24">
        <v>235000.0</v>
      </c>
      <c r="F26" s="24">
        <v>2500.0</v>
      </c>
      <c r="G26" s="24">
        <v>30.0</v>
      </c>
      <c r="H26" s="25">
        <f>375*F26</f>
        <v>937500</v>
      </c>
      <c r="I26" s="25">
        <f>25*F26</f>
        <v>62500</v>
      </c>
      <c r="J26" s="25">
        <f>50*40*50/1000000*3*D26/G26</f>
        <v>70000</v>
      </c>
      <c r="K26" s="25">
        <f>(28*E26/G26)</f>
        <v>219333.3333</v>
      </c>
      <c r="L26" s="24">
        <v>50000.0</v>
      </c>
      <c r="M26" s="25">
        <f t="shared" si="1"/>
        <v>1120000</v>
      </c>
      <c r="N26" s="25">
        <f t="shared" si="19"/>
        <v>1269333.333</v>
      </c>
      <c r="O26" s="24">
        <f t="shared" si="18"/>
        <v>22400</v>
      </c>
      <c r="P26" s="24">
        <f t="shared" si="20"/>
        <v>25386.66667</v>
      </c>
      <c r="Q26" s="24">
        <v>200000.0</v>
      </c>
      <c r="R26" s="25">
        <f t="shared" si="9"/>
        <v>1342400</v>
      </c>
      <c r="S26" s="25">
        <f t="shared" si="21"/>
        <v>1494720</v>
      </c>
    </row>
    <row r="27" ht="90.0" customHeight="1">
      <c r="A27" s="33"/>
      <c r="D27" s="24">
        <v>6000000.0</v>
      </c>
      <c r="E27" s="24">
        <v>235000.0</v>
      </c>
      <c r="F27" s="24">
        <v>2500.0</v>
      </c>
      <c r="G27" s="24">
        <v>100.0</v>
      </c>
      <c r="H27" s="25">
        <f>31*F27</f>
        <v>77500</v>
      </c>
      <c r="I27" s="25">
        <f t="shared" ref="I27:I34" si="23">2*F27</f>
        <v>5000</v>
      </c>
      <c r="J27" s="25">
        <f t="shared" ref="J27:J34" si="24">0.1*D27/G27</f>
        <v>6000</v>
      </c>
      <c r="K27" s="24">
        <f t="shared" ref="K27:K34" si="25">50*E27/G27</f>
        <v>117500</v>
      </c>
      <c r="L27" s="24">
        <v>5000.0</v>
      </c>
      <c r="M27" s="25">
        <f t="shared" si="1"/>
        <v>93500</v>
      </c>
      <c r="N27" s="25">
        <f t="shared" si="19"/>
        <v>205000</v>
      </c>
      <c r="O27" s="24">
        <f t="shared" si="18"/>
        <v>1870</v>
      </c>
      <c r="P27" s="24">
        <f t="shared" si="20"/>
        <v>4100</v>
      </c>
      <c r="Q27" s="24">
        <v>5000.0</v>
      </c>
      <c r="R27" s="25">
        <f t="shared" si="9"/>
        <v>100370</v>
      </c>
      <c r="S27" s="25">
        <f t="shared" si="21"/>
        <v>214100</v>
      </c>
    </row>
    <row r="28" ht="90.0" customHeight="1">
      <c r="A28" s="33"/>
      <c r="D28" s="24">
        <v>6000000.0</v>
      </c>
      <c r="E28" s="24">
        <v>235000.0</v>
      </c>
      <c r="F28" s="24">
        <v>2500.0</v>
      </c>
      <c r="G28" s="24">
        <v>100.0</v>
      </c>
      <c r="H28" s="25">
        <f>39*F28</f>
        <v>97500</v>
      </c>
      <c r="I28" s="25">
        <f t="shared" si="23"/>
        <v>5000</v>
      </c>
      <c r="J28" s="25">
        <f t="shared" si="24"/>
        <v>6000</v>
      </c>
      <c r="K28" s="24">
        <f t="shared" si="25"/>
        <v>117500</v>
      </c>
      <c r="L28" s="24">
        <v>5000.0</v>
      </c>
      <c r="M28" s="25">
        <f t="shared" si="1"/>
        <v>113500</v>
      </c>
      <c r="N28" s="25">
        <f t="shared" si="19"/>
        <v>225000</v>
      </c>
      <c r="O28" s="24">
        <f t="shared" si="18"/>
        <v>2270</v>
      </c>
      <c r="P28" s="24">
        <f t="shared" si="20"/>
        <v>4500</v>
      </c>
      <c r="Q28" s="24">
        <v>5000.0</v>
      </c>
      <c r="R28" s="25">
        <f t="shared" si="9"/>
        <v>120770</v>
      </c>
      <c r="S28" s="25">
        <f t="shared" si="21"/>
        <v>234500</v>
      </c>
    </row>
    <row r="29" ht="90.0" customHeight="1">
      <c r="A29" s="25"/>
      <c r="D29" s="24">
        <v>6000000.0</v>
      </c>
      <c r="E29" s="24">
        <v>235000.0</v>
      </c>
      <c r="F29" s="24">
        <v>2500.0</v>
      </c>
      <c r="G29" s="24">
        <v>100.0</v>
      </c>
      <c r="H29" s="25">
        <f>8*F29</f>
        <v>20000</v>
      </c>
      <c r="I29" s="25">
        <f t="shared" si="23"/>
        <v>5000</v>
      </c>
      <c r="J29" s="25">
        <f t="shared" si="24"/>
        <v>6000</v>
      </c>
      <c r="K29" s="24">
        <f t="shared" si="25"/>
        <v>117500</v>
      </c>
      <c r="L29" s="24">
        <v>5000.0</v>
      </c>
      <c r="M29" s="25">
        <f t="shared" si="1"/>
        <v>36000</v>
      </c>
      <c r="N29" s="25">
        <f t="shared" si="19"/>
        <v>147500</v>
      </c>
      <c r="O29" s="24">
        <f t="shared" si="18"/>
        <v>720</v>
      </c>
      <c r="P29" s="24">
        <f t="shared" si="20"/>
        <v>2950</v>
      </c>
      <c r="Q29" s="24">
        <v>5000.0</v>
      </c>
      <c r="R29" s="25">
        <f t="shared" si="9"/>
        <v>41720</v>
      </c>
      <c r="S29" s="25">
        <f t="shared" si="21"/>
        <v>155450</v>
      </c>
    </row>
    <row r="30" ht="90.0" customHeight="1">
      <c r="A30" s="25"/>
      <c r="D30" s="24">
        <v>6000000.0</v>
      </c>
      <c r="E30" s="24">
        <v>235000.0</v>
      </c>
      <c r="F30" s="24">
        <v>2500.0</v>
      </c>
      <c r="G30" s="24">
        <v>100.0</v>
      </c>
      <c r="H30" s="25">
        <f>68*F30</f>
        <v>170000</v>
      </c>
      <c r="I30" s="25">
        <f t="shared" si="23"/>
        <v>5000</v>
      </c>
      <c r="J30" s="25">
        <f t="shared" si="24"/>
        <v>6000</v>
      </c>
      <c r="K30" s="24">
        <f t="shared" si="25"/>
        <v>117500</v>
      </c>
      <c r="L30" s="24">
        <v>5000.0</v>
      </c>
      <c r="M30" s="25">
        <f t="shared" si="1"/>
        <v>186000</v>
      </c>
      <c r="N30" s="25">
        <f t="shared" si="19"/>
        <v>297500</v>
      </c>
      <c r="O30" s="24">
        <f t="shared" si="18"/>
        <v>3720</v>
      </c>
      <c r="P30" s="24">
        <f t="shared" si="20"/>
        <v>5950</v>
      </c>
      <c r="Q30" s="24">
        <v>5000.0</v>
      </c>
      <c r="R30" s="25">
        <f t="shared" si="9"/>
        <v>194720</v>
      </c>
      <c r="S30" s="25">
        <f t="shared" si="21"/>
        <v>308450</v>
      </c>
    </row>
    <row r="31" ht="90.0" customHeight="1">
      <c r="A31" s="25"/>
      <c r="D31" s="24">
        <v>6000000.0</v>
      </c>
      <c r="E31" s="24">
        <v>235000.0</v>
      </c>
      <c r="F31" s="24">
        <v>2500.0</v>
      </c>
      <c r="G31" s="24">
        <v>100.0</v>
      </c>
      <c r="H31" s="25">
        <f>59*F31</f>
        <v>147500</v>
      </c>
      <c r="I31" s="25">
        <f t="shared" si="23"/>
        <v>5000</v>
      </c>
      <c r="J31" s="25">
        <f t="shared" si="24"/>
        <v>6000</v>
      </c>
      <c r="K31" s="24">
        <f t="shared" si="25"/>
        <v>117500</v>
      </c>
      <c r="L31" s="24">
        <v>5000.0</v>
      </c>
      <c r="M31" s="25">
        <f t="shared" si="1"/>
        <v>163500</v>
      </c>
      <c r="N31" s="25">
        <f t="shared" si="19"/>
        <v>275000</v>
      </c>
      <c r="O31" s="24">
        <f t="shared" si="18"/>
        <v>3270</v>
      </c>
      <c r="P31" s="24">
        <f t="shared" si="20"/>
        <v>5500</v>
      </c>
      <c r="Q31" s="24">
        <v>5000.0</v>
      </c>
      <c r="R31" s="25">
        <f t="shared" si="9"/>
        <v>171770</v>
      </c>
      <c r="S31" s="25">
        <f t="shared" si="21"/>
        <v>285500</v>
      </c>
    </row>
    <row r="32" ht="90.0" customHeight="1">
      <c r="A32" s="25"/>
      <c r="D32" s="24">
        <v>6000000.0</v>
      </c>
      <c r="E32" s="24">
        <v>235000.0</v>
      </c>
      <c r="F32" s="24">
        <v>2500.0</v>
      </c>
      <c r="G32" s="24">
        <v>100.0</v>
      </c>
      <c r="H32" s="25">
        <f>5*F32</f>
        <v>12500</v>
      </c>
      <c r="I32" s="25">
        <f t="shared" si="23"/>
        <v>5000</v>
      </c>
      <c r="J32" s="25">
        <f t="shared" si="24"/>
        <v>6000</v>
      </c>
      <c r="K32" s="24">
        <f t="shared" si="25"/>
        <v>117500</v>
      </c>
      <c r="L32" s="24">
        <v>5000.0</v>
      </c>
      <c r="M32" s="25">
        <f t="shared" si="1"/>
        <v>28500</v>
      </c>
      <c r="N32" s="25">
        <f t="shared" si="19"/>
        <v>140000</v>
      </c>
      <c r="O32" s="24">
        <f t="shared" si="18"/>
        <v>570</v>
      </c>
      <c r="P32" s="24">
        <f t="shared" si="20"/>
        <v>2800</v>
      </c>
      <c r="Q32" s="24">
        <v>5000.0</v>
      </c>
      <c r="R32" s="25">
        <f t="shared" si="9"/>
        <v>34070</v>
      </c>
      <c r="S32" s="25">
        <f t="shared" si="21"/>
        <v>147800</v>
      </c>
    </row>
    <row r="33" ht="90.0" customHeight="1">
      <c r="A33" s="25"/>
      <c r="D33" s="24">
        <v>6000000.0</v>
      </c>
      <c r="E33" s="24">
        <v>235000.0</v>
      </c>
      <c r="F33" s="24">
        <v>2500.0</v>
      </c>
      <c r="G33" s="24">
        <v>100.0</v>
      </c>
      <c r="H33" s="25">
        <f>97*F33</f>
        <v>242500</v>
      </c>
      <c r="I33" s="25">
        <f t="shared" si="23"/>
        <v>5000</v>
      </c>
      <c r="J33" s="25">
        <f t="shared" si="24"/>
        <v>6000</v>
      </c>
      <c r="K33" s="24">
        <f t="shared" si="25"/>
        <v>117500</v>
      </c>
      <c r="L33" s="24">
        <v>5000.0</v>
      </c>
      <c r="M33" s="25">
        <f t="shared" si="1"/>
        <v>258500</v>
      </c>
      <c r="N33" s="25">
        <f t="shared" si="19"/>
        <v>370000</v>
      </c>
      <c r="O33" s="24">
        <f t="shared" si="18"/>
        <v>5170</v>
      </c>
      <c r="P33" s="24">
        <f t="shared" si="20"/>
        <v>7400</v>
      </c>
      <c r="Q33" s="24">
        <v>5000.0</v>
      </c>
      <c r="R33" s="25">
        <f t="shared" si="9"/>
        <v>268670</v>
      </c>
      <c r="S33" s="25">
        <f t="shared" si="21"/>
        <v>382400</v>
      </c>
    </row>
    <row r="34" ht="90.0" customHeight="1">
      <c r="A34" s="25"/>
      <c r="D34" s="24">
        <v>6000000.0</v>
      </c>
      <c r="E34" s="24">
        <v>235000.0</v>
      </c>
      <c r="F34" s="24">
        <v>2500.0</v>
      </c>
      <c r="G34" s="24">
        <v>100.0</v>
      </c>
      <c r="H34" s="25">
        <f>68*F34</f>
        <v>170000</v>
      </c>
      <c r="I34" s="25">
        <f t="shared" si="23"/>
        <v>5000</v>
      </c>
      <c r="J34" s="25">
        <f t="shared" si="24"/>
        <v>6000</v>
      </c>
      <c r="K34" s="24">
        <f t="shared" si="25"/>
        <v>117500</v>
      </c>
      <c r="L34" s="24">
        <v>5000.0</v>
      </c>
      <c r="M34" s="25">
        <f t="shared" si="1"/>
        <v>186000</v>
      </c>
      <c r="N34" s="25">
        <f t="shared" si="19"/>
        <v>297500</v>
      </c>
      <c r="O34" s="24">
        <f t="shared" si="18"/>
        <v>3720</v>
      </c>
      <c r="P34" s="24">
        <f t="shared" si="20"/>
        <v>5950</v>
      </c>
      <c r="Q34" s="24">
        <v>5000.0</v>
      </c>
      <c r="R34" s="25">
        <f t="shared" si="9"/>
        <v>194720</v>
      </c>
      <c r="S34" s="25">
        <f t="shared" si="21"/>
        <v>308450</v>
      </c>
    </row>
    <row r="35" ht="90.0" customHeight="1">
      <c r="A35" s="25"/>
      <c r="D35" s="24">
        <v>4250000.0</v>
      </c>
      <c r="F35" s="24">
        <v>2500.0</v>
      </c>
      <c r="G35" s="24">
        <v>5000.0</v>
      </c>
      <c r="H35" s="25">
        <f>0.9*F35</f>
        <v>2250</v>
      </c>
      <c r="I35" s="25">
        <f t="shared" ref="I35:I36" si="26">0.1*F35</f>
        <v>250</v>
      </c>
      <c r="J35" s="25">
        <f>65.5*34*47.5/1000000*D35/G35*25</f>
        <v>2247.878125</v>
      </c>
      <c r="L35" s="24">
        <f>8500*18/G35*25</f>
        <v>765</v>
      </c>
      <c r="M35" s="25">
        <f t="shared" si="1"/>
        <v>5512.878125</v>
      </c>
      <c r="O35" s="24">
        <f t="shared" si="18"/>
        <v>110.2575625</v>
      </c>
      <c r="Q35" s="24">
        <v>500.0</v>
      </c>
      <c r="R35" s="25">
        <f t="shared" si="9"/>
        <v>6123.135688</v>
      </c>
      <c r="T35" s="24" t="s">
        <v>174</v>
      </c>
      <c r="W35" s="24">
        <v>6300.0</v>
      </c>
    </row>
    <row r="36" ht="90.0" customHeight="1">
      <c r="A36" s="25"/>
      <c r="D36" s="24">
        <v>4250000.0</v>
      </c>
      <c r="E36" s="34"/>
      <c r="F36" s="35">
        <v>2500.0</v>
      </c>
      <c r="G36" s="35">
        <v>5000.0</v>
      </c>
      <c r="H36" s="24">
        <f>0.92*F36</f>
        <v>2300</v>
      </c>
      <c r="I36" s="25">
        <f t="shared" si="26"/>
        <v>250</v>
      </c>
      <c r="J36" s="25">
        <f>66.5*34*36/1000000*D36/G36*50</f>
        <v>3459.33</v>
      </c>
      <c r="L36" s="24">
        <f>8500*14/G36*50</f>
        <v>1190</v>
      </c>
      <c r="M36" s="25">
        <f t="shared" si="1"/>
        <v>7199.33</v>
      </c>
      <c r="O36" s="24">
        <f t="shared" si="18"/>
        <v>143.9866</v>
      </c>
      <c r="Q36" s="24">
        <v>500.0</v>
      </c>
      <c r="R36" s="25">
        <f t="shared" si="9"/>
        <v>7843.3166</v>
      </c>
      <c r="T36" s="24" t="s">
        <v>175</v>
      </c>
      <c r="W36" s="24">
        <v>8100.0</v>
      </c>
    </row>
    <row r="37" ht="90.0" customHeight="1">
      <c r="A37" s="25"/>
      <c r="B37" s="24" t="s">
        <v>176</v>
      </c>
      <c r="C37" s="24" t="s">
        <v>177</v>
      </c>
      <c r="D37" s="24">
        <v>5000000.0</v>
      </c>
      <c r="E37" s="24">
        <v>200000.0</v>
      </c>
      <c r="F37" s="35">
        <v>2500.0</v>
      </c>
      <c r="G37" s="24">
        <v>10.0</v>
      </c>
      <c r="H37" s="24">
        <f t="shared" ref="H37:H38" si="27">37.6*F37</f>
        <v>94000</v>
      </c>
      <c r="I37" s="25">
        <f t="shared" ref="I37:I38" si="28">1.4*F37</f>
        <v>3500</v>
      </c>
      <c r="K37" s="24">
        <f>18*17*20/6000*E37</f>
        <v>204000</v>
      </c>
      <c r="L37" s="24">
        <v>5000.0</v>
      </c>
      <c r="N37" s="25">
        <f>H37+I37+K37+L37</f>
        <v>306500</v>
      </c>
      <c r="P37" s="24">
        <f>2*N37/100</f>
        <v>6130</v>
      </c>
      <c r="Q37" s="24">
        <v>30000.0</v>
      </c>
      <c r="S37" s="25">
        <f>N37+P37+Q37</f>
        <v>342630</v>
      </c>
    </row>
    <row r="38" ht="90.0" customHeight="1">
      <c r="A38" s="25"/>
      <c r="B38" s="24" t="s">
        <v>176</v>
      </c>
      <c r="C38" s="24" t="s">
        <v>177</v>
      </c>
      <c r="D38" s="24">
        <v>5000000.0</v>
      </c>
      <c r="F38" s="35">
        <v>2500.0</v>
      </c>
      <c r="G38" s="24">
        <v>17.0</v>
      </c>
      <c r="H38" s="24">
        <f t="shared" si="27"/>
        <v>94000</v>
      </c>
      <c r="I38" s="25">
        <f t="shared" si="28"/>
        <v>3500</v>
      </c>
      <c r="J38" s="25">
        <f>18*17*20/1000000*D38</f>
        <v>30600</v>
      </c>
      <c r="L38" s="24">
        <v>5000.0</v>
      </c>
      <c r="M38" s="25">
        <f t="shared" ref="M38:M96" si="29">H38+I38+J38+L38</f>
        <v>133100</v>
      </c>
      <c r="O38" s="24">
        <f t="shared" ref="O38:O96" si="30">2*M38/100</f>
        <v>2662</v>
      </c>
      <c r="Q38" s="24">
        <v>30000.0</v>
      </c>
      <c r="R38" s="25">
        <f t="shared" ref="R38:R96" si="31">M38+O38+Q38</f>
        <v>165762</v>
      </c>
    </row>
    <row r="39" ht="90.0" customHeight="1">
      <c r="A39" s="25"/>
      <c r="B39" s="24" t="s">
        <v>176</v>
      </c>
      <c r="C39" s="29" t="s">
        <v>178</v>
      </c>
      <c r="H39" s="24">
        <v>200000.0</v>
      </c>
      <c r="L39" s="24">
        <v>5000.0</v>
      </c>
      <c r="M39" s="25">
        <f t="shared" si="29"/>
        <v>205000</v>
      </c>
      <c r="O39" s="24">
        <f t="shared" si="30"/>
        <v>4100</v>
      </c>
      <c r="Q39" s="24">
        <v>30000.0</v>
      </c>
      <c r="R39" s="25">
        <f t="shared" si="31"/>
        <v>239100</v>
      </c>
    </row>
    <row r="40" ht="90.0" customHeight="1">
      <c r="A40" s="25"/>
      <c r="B40" s="24" t="s">
        <v>179</v>
      </c>
      <c r="C40" s="24" t="s">
        <v>180</v>
      </c>
      <c r="D40" s="24">
        <v>5500000.0</v>
      </c>
      <c r="E40" s="24">
        <v>230000.0</v>
      </c>
      <c r="F40" s="24">
        <v>2500.0</v>
      </c>
      <c r="G40" s="24">
        <v>1.0</v>
      </c>
      <c r="H40" s="25">
        <f>150*F40</f>
        <v>375000</v>
      </c>
      <c r="J40" s="25">
        <f>0.1*D40</f>
        <v>550000</v>
      </c>
      <c r="K40" s="25">
        <f>15*E40</f>
        <v>3450000</v>
      </c>
      <c r="L40" s="24">
        <v>50000.0</v>
      </c>
      <c r="M40" s="25">
        <f t="shared" si="29"/>
        <v>975000</v>
      </c>
      <c r="N40" s="25">
        <f>H40+I40+K40+L40</f>
        <v>3875000</v>
      </c>
      <c r="O40" s="24">
        <f t="shared" si="30"/>
        <v>19500</v>
      </c>
      <c r="P40" s="24">
        <f>2*N40/100</f>
        <v>77500</v>
      </c>
      <c r="Q40" s="24">
        <v>100000.0</v>
      </c>
      <c r="R40" s="25">
        <f t="shared" si="31"/>
        <v>1094500</v>
      </c>
      <c r="S40" s="25">
        <f>N40+P40+Q40</f>
        <v>4052500</v>
      </c>
      <c r="T40" s="24" t="s">
        <v>181</v>
      </c>
    </row>
    <row r="41" ht="90.0" customHeight="1">
      <c r="A41" s="25"/>
      <c r="B41" s="31" t="s">
        <v>182</v>
      </c>
      <c r="C41" s="29" t="s">
        <v>183</v>
      </c>
      <c r="G41" s="24">
        <v>1.0</v>
      </c>
      <c r="H41" s="24">
        <v>320000.0</v>
      </c>
      <c r="L41" s="24">
        <v>50000.0</v>
      </c>
      <c r="M41" s="25">
        <f t="shared" si="29"/>
        <v>370000</v>
      </c>
      <c r="O41" s="24">
        <f t="shared" si="30"/>
        <v>7400</v>
      </c>
      <c r="Q41" s="24">
        <v>100000.0</v>
      </c>
      <c r="R41" s="25">
        <f t="shared" si="31"/>
        <v>477400</v>
      </c>
      <c r="T41" s="24" t="s">
        <v>184</v>
      </c>
    </row>
    <row r="42" ht="90.0" customHeight="1">
      <c r="A42" s="25"/>
      <c r="B42" s="36" t="s">
        <v>185</v>
      </c>
      <c r="C42" s="24" t="s">
        <v>186</v>
      </c>
      <c r="D42" s="24">
        <v>5500000.0</v>
      </c>
      <c r="E42" s="24">
        <v>230000.0</v>
      </c>
      <c r="F42" s="24">
        <v>2500.0</v>
      </c>
      <c r="G42" s="24">
        <v>2.0</v>
      </c>
      <c r="H42" s="25">
        <f>315*F42</f>
        <v>787500</v>
      </c>
      <c r="J42" s="25">
        <f>46*35*35*2/1000000*D42/G42</f>
        <v>309925</v>
      </c>
      <c r="K42" s="25">
        <f t="shared" ref="K42:K43" si="32">10*E42</f>
        <v>2300000</v>
      </c>
      <c r="L42" s="24">
        <v>50000.0</v>
      </c>
      <c r="M42" s="25">
        <f t="shared" si="29"/>
        <v>1147425</v>
      </c>
      <c r="N42" s="25">
        <f t="shared" ref="N42:N43" si="33">H42+I42+K42+L42</f>
        <v>3137500</v>
      </c>
      <c r="O42" s="24">
        <f t="shared" si="30"/>
        <v>22948.5</v>
      </c>
      <c r="P42" s="24">
        <f t="shared" ref="P42:P43" si="34">2*N42/100</f>
        <v>62750</v>
      </c>
      <c r="Q42" s="24">
        <v>100000.0</v>
      </c>
      <c r="R42" s="25">
        <f t="shared" si="31"/>
        <v>1270373.5</v>
      </c>
      <c r="S42" s="25">
        <f t="shared" ref="S42:S43" si="35">N42+P42+Q42</f>
        <v>3300250</v>
      </c>
      <c r="T42" s="24" t="s">
        <v>187</v>
      </c>
    </row>
    <row r="43" ht="90.0" customHeight="1">
      <c r="A43" s="25"/>
      <c r="B43" s="36" t="s">
        <v>188</v>
      </c>
      <c r="C43" s="24" t="s">
        <v>189</v>
      </c>
      <c r="D43" s="24">
        <v>5500000.0</v>
      </c>
      <c r="E43" s="24">
        <v>230000.0</v>
      </c>
      <c r="F43" s="24">
        <v>2500.0</v>
      </c>
      <c r="G43" s="24">
        <v>4.0</v>
      </c>
      <c r="H43" s="25">
        <f>110*F43</f>
        <v>275000</v>
      </c>
      <c r="I43" s="25">
        <f>13*F43</f>
        <v>32500</v>
      </c>
      <c r="J43" s="25">
        <f>25*25*40*4/1000000*D43/G43</f>
        <v>137500</v>
      </c>
      <c r="K43" s="25">
        <f t="shared" si="32"/>
        <v>2300000</v>
      </c>
      <c r="L43" s="24">
        <v>50000.0</v>
      </c>
      <c r="M43" s="25">
        <f t="shared" si="29"/>
        <v>495000</v>
      </c>
      <c r="N43" s="25">
        <f t="shared" si="33"/>
        <v>2657500</v>
      </c>
      <c r="O43" s="24">
        <f t="shared" si="30"/>
        <v>9900</v>
      </c>
      <c r="P43" s="24">
        <f t="shared" si="34"/>
        <v>53150</v>
      </c>
      <c r="Q43" s="24">
        <v>100000.0</v>
      </c>
      <c r="R43" s="25">
        <f t="shared" si="31"/>
        <v>604900</v>
      </c>
      <c r="S43" s="25">
        <f t="shared" si="35"/>
        <v>2810650</v>
      </c>
      <c r="T43" s="24" t="s">
        <v>190</v>
      </c>
    </row>
    <row r="44" ht="90.0" customHeight="1">
      <c r="A44" s="25"/>
      <c r="B44" s="24" t="s">
        <v>191</v>
      </c>
      <c r="C44" s="29" t="s">
        <v>192</v>
      </c>
      <c r="G44" s="24">
        <v>300.0</v>
      </c>
      <c r="H44" s="24">
        <v>2900.0</v>
      </c>
      <c r="L44" s="24">
        <v>1000.0</v>
      </c>
      <c r="M44" s="25">
        <f t="shared" si="29"/>
        <v>3900</v>
      </c>
      <c r="O44" s="24">
        <f t="shared" si="30"/>
        <v>78</v>
      </c>
      <c r="Q44" s="24">
        <v>1000.0</v>
      </c>
      <c r="R44" s="25">
        <f t="shared" si="31"/>
        <v>4978</v>
      </c>
      <c r="T44" s="24" t="s">
        <v>193</v>
      </c>
    </row>
    <row r="45" ht="90.0" customHeight="1">
      <c r="A45" s="25"/>
      <c r="B45" s="24" t="s">
        <v>191</v>
      </c>
      <c r="C45" s="29" t="s">
        <v>192</v>
      </c>
      <c r="G45" s="24">
        <v>1000.0</v>
      </c>
      <c r="H45" s="24">
        <v>2900.0</v>
      </c>
      <c r="L45" s="24">
        <v>1000.0</v>
      </c>
      <c r="M45" s="25">
        <f t="shared" si="29"/>
        <v>3900</v>
      </c>
      <c r="O45" s="24">
        <f t="shared" si="30"/>
        <v>78</v>
      </c>
      <c r="Q45" s="24">
        <v>800.0</v>
      </c>
      <c r="R45" s="25">
        <f t="shared" si="31"/>
        <v>4778</v>
      </c>
      <c r="T45" s="24" t="s">
        <v>193</v>
      </c>
    </row>
    <row r="46" ht="90.0" customHeight="1">
      <c r="A46" s="25"/>
      <c r="B46" s="24" t="s">
        <v>191</v>
      </c>
      <c r="C46" s="29" t="s">
        <v>192</v>
      </c>
      <c r="G46" s="24">
        <v>2000.0</v>
      </c>
      <c r="H46" s="24">
        <v>2900.0</v>
      </c>
      <c r="L46" s="24">
        <v>1000.0</v>
      </c>
      <c r="M46" s="25">
        <f t="shared" si="29"/>
        <v>3900</v>
      </c>
      <c r="O46" s="24">
        <f t="shared" si="30"/>
        <v>78</v>
      </c>
      <c r="Q46" s="24">
        <v>500.0</v>
      </c>
      <c r="R46" s="25">
        <f t="shared" si="31"/>
        <v>4478</v>
      </c>
      <c r="T46" s="24" t="s">
        <v>193</v>
      </c>
    </row>
    <row r="47" ht="90.0" customHeight="1">
      <c r="A47" s="25"/>
      <c r="B47" s="24" t="s">
        <v>194</v>
      </c>
      <c r="C47" s="29" t="s">
        <v>195</v>
      </c>
      <c r="G47" s="24">
        <v>300.0</v>
      </c>
      <c r="H47" s="24">
        <v>3000.0</v>
      </c>
      <c r="L47" s="24">
        <v>1000.0</v>
      </c>
      <c r="M47" s="25">
        <f t="shared" si="29"/>
        <v>4000</v>
      </c>
      <c r="O47" s="24">
        <f t="shared" si="30"/>
        <v>80</v>
      </c>
      <c r="Q47" s="24">
        <v>1000.0</v>
      </c>
      <c r="R47" s="25">
        <f t="shared" si="31"/>
        <v>5080</v>
      </c>
      <c r="T47" s="24" t="s">
        <v>196</v>
      </c>
    </row>
    <row r="48" ht="90.0" customHeight="1">
      <c r="A48" s="25"/>
      <c r="B48" s="24" t="s">
        <v>194</v>
      </c>
      <c r="C48" s="29" t="s">
        <v>195</v>
      </c>
      <c r="G48" s="24">
        <v>1000.0</v>
      </c>
      <c r="H48" s="24">
        <v>3000.0</v>
      </c>
      <c r="L48" s="24">
        <v>1000.0</v>
      </c>
      <c r="M48" s="25">
        <f t="shared" si="29"/>
        <v>4000</v>
      </c>
      <c r="O48" s="24">
        <f t="shared" si="30"/>
        <v>80</v>
      </c>
      <c r="Q48" s="24">
        <v>800.0</v>
      </c>
      <c r="R48" s="25">
        <f t="shared" si="31"/>
        <v>4880</v>
      </c>
      <c r="T48" s="24" t="s">
        <v>196</v>
      </c>
    </row>
    <row r="49" ht="90.0" customHeight="1">
      <c r="A49" s="25"/>
      <c r="B49" s="24" t="s">
        <v>194</v>
      </c>
      <c r="C49" s="29" t="s">
        <v>195</v>
      </c>
      <c r="G49" s="24">
        <v>2000.0</v>
      </c>
      <c r="H49" s="24">
        <v>3000.0</v>
      </c>
      <c r="L49" s="24">
        <v>1000.0</v>
      </c>
      <c r="M49" s="25">
        <f t="shared" si="29"/>
        <v>4000</v>
      </c>
      <c r="O49" s="24">
        <f t="shared" si="30"/>
        <v>80</v>
      </c>
      <c r="Q49" s="24">
        <v>500.0</v>
      </c>
      <c r="R49" s="25">
        <f t="shared" si="31"/>
        <v>4580</v>
      </c>
      <c r="T49" s="24" t="s">
        <v>196</v>
      </c>
    </row>
    <row r="50" ht="90.0" customHeight="1">
      <c r="A50" s="25"/>
      <c r="B50" s="24" t="s">
        <v>197</v>
      </c>
      <c r="C50" s="29" t="s">
        <v>198</v>
      </c>
      <c r="G50" s="24">
        <v>300.0</v>
      </c>
      <c r="H50" s="24">
        <v>3150.0</v>
      </c>
      <c r="L50" s="24">
        <v>1500.0</v>
      </c>
      <c r="M50" s="25">
        <f t="shared" si="29"/>
        <v>4650</v>
      </c>
      <c r="O50" s="24">
        <f t="shared" si="30"/>
        <v>93</v>
      </c>
      <c r="Q50" s="24">
        <v>1000.0</v>
      </c>
      <c r="R50" s="25">
        <f t="shared" si="31"/>
        <v>5743</v>
      </c>
      <c r="T50" s="24" t="s">
        <v>199</v>
      </c>
    </row>
    <row r="51" ht="90.0" customHeight="1">
      <c r="A51" s="25"/>
      <c r="B51" s="24" t="s">
        <v>197</v>
      </c>
      <c r="C51" s="29" t="s">
        <v>198</v>
      </c>
      <c r="G51" s="24">
        <v>1000.0</v>
      </c>
      <c r="H51" s="24">
        <v>3150.0</v>
      </c>
      <c r="L51" s="24">
        <v>1500.0</v>
      </c>
      <c r="M51" s="25">
        <f t="shared" si="29"/>
        <v>4650</v>
      </c>
      <c r="O51" s="24">
        <f t="shared" si="30"/>
        <v>93</v>
      </c>
      <c r="Q51" s="24">
        <v>800.0</v>
      </c>
      <c r="R51" s="25">
        <f t="shared" si="31"/>
        <v>5543</v>
      </c>
      <c r="T51" s="24" t="s">
        <v>199</v>
      </c>
    </row>
    <row r="52" ht="90.0" customHeight="1">
      <c r="A52" s="25"/>
      <c r="B52" s="24" t="s">
        <v>197</v>
      </c>
      <c r="C52" s="29" t="s">
        <v>198</v>
      </c>
      <c r="G52" s="24">
        <v>2000.0</v>
      </c>
      <c r="H52" s="24">
        <v>3150.0</v>
      </c>
      <c r="L52" s="24">
        <v>1500.0</v>
      </c>
      <c r="M52" s="25">
        <f t="shared" si="29"/>
        <v>4650</v>
      </c>
      <c r="O52" s="24">
        <f t="shared" si="30"/>
        <v>93</v>
      </c>
      <c r="Q52" s="24">
        <v>500.0</v>
      </c>
      <c r="R52" s="25">
        <f t="shared" si="31"/>
        <v>5243</v>
      </c>
      <c r="T52" s="24" t="s">
        <v>199</v>
      </c>
    </row>
    <row r="53" ht="90.0" customHeight="1">
      <c r="A53" s="25"/>
      <c r="B53" s="24" t="s">
        <v>200</v>
      </c>
      <c r="C53" s="29" t="s">
        <v>198</v>
      </c>
      <c r="G53" s="24">
        <v>300.0</v>
      </c>
      <c r="H53" s="24">
        <v>3345.0</v>
      </c>
      <c r="L53" s="24">
        <v>1500.0</v>
      </c>
      <c r="M53" s="25">
        <f t="shared" si="29"/>
        <v>4845</v>
      </c>
      <c r="O53" s="24">
        <f t="shared" si="30"/>
        <v>96.9</v>
      </c>
      <c r="Q53" s="24">
        <v>1000.0</v>
      </c>
      <c r="R53" s="25">
        <f t="shared" si="31"/>
        <v>5941.9</v>
      </c>
      <c r="T53" s="24" t="s">
        <v>199</v>
      </c>
    </row>
    <row r="54" ht="90.0" customHeight="1">
      <c r="A54" s="25"/>
      <c r="B54" s="24" t="s">
        <v>200</v>
      </c>
      <c r="C54" s="29" t="s">
        <v>198</v>
      </c>
      <c r="G54" s="24">
        <v>1000.0</v>
      </c>
      <c r="H54" s="24">
        <v>3345.0</v>
      </c>
      <c r="L54" s="24">
        <v>1500.0</v>
      </c>
      <c r="M54" s="25">
        <f t="shared" si="29"/>
        <v>4845</v>
      </c>
      <c r="O54" s="24">
        <f t="shared" si="30"/>
        <v>96.9</v>
      </c>
      <c r="Q54" s="24">
        <v>800.0</v>
      </c>
      <c r="R54" s="25">
        <f t="shared" si="31"/>
        <v>5741.9</v>
      </c>
      <c r="T54" s="24" t="s">
        <v>199</v>
      </c>
    </row>
    <row r="55" ht="90.0" customHeight="1">
      <c r="A55" s="25"/>
      <c r="B55" s="24" t="s">
        <v>200</v>
      </c>
      <c r="C55" s="29" t="s">
        <v>198</v>
      </c>
      <c r="G55" s="24">
        <v>2000.0</v>
      </c>
      <c r="H55" s="24">
        <v>3345.0</v>
      </c>
      <c r="L55" s="24">
        <v>1500.0</v>
      </c>
      <c r="M55" s="25">
        <f t="shared" si="29"/>
        <v>4845</v>
      </c>
      <c r="O55" s="24">
        <f t="shared" si="30"/>
        <v>96.9</v>
      </c>
      <c r="Q55" s="24">
        <v>500.0</v>
      </c>
      <c r="R55" s="25">
        <f t="shared" si="31"/>
        <v>5441.9</v>
      </c>
      <c r="T55" s="24" t="s">
        <v>199</v>
      </c>
    </row>
    <row r="56" ht="90.0" customHeight="1">
      <c r="A56" s="25"/>
      <c r="B56" s="24" t="s">
        <v>201</v>
      </c>
      <c r="C56" s="29" t="s">
        <v>202</v>
      </c>
      <c r="G56" s="24">
        <v>300.0</v>
      </c>
      <c r="H56" s="24">
        <v>5336.0</v>
      </c>
      <c r="L56" s="24">
        <v>1500.0</v>
      </c>
      <c r="M56" s="25">
        <f t="shared" si="29"/>
        <v>6836</v>
      </c>
      <c r="O56" s="24">
        <f t="shared" si="30"/>
        <v>136.72</v>
      </c>
      <c r="Q56" s="24">
        <v>1000.0</v>
      </c>
      <c r="R56" s="25">
        <f t="shared" si="31"/>
        <v>7972.72</v>
      </c>
      <c r="T56" s="37" t="s">
        <v>203</v>
      </c>
    </row>
    <row r="57" ht="90.0" customHeight="1">
      <c r="A57" s="25"/>
      <c r="B57" s="24" t="s">
        <v>201</v>
      </c>
      <c r="C57" s="29" t="s">
        <v>202</v>
      </c>
      <c r="G57" s="24">
        <v>1000.0</v>
      </c>
      <c r="H57" s="24">
        <v>5336.0</v>
      </c>
      <c r="L57" s="24">
        <v>1500.0</v>
      </c>
      <c r="M57" s="25">
        <f t="shared" si="29"/>
        <v>6836</v>
      </c>
      <c r="O57" s="24">
        <f t="shared" si="30"/>
        <v>136.72</v>
      </c>
      <c r="Q57" s="24">
        <v>800.0</v>
      </c>
      <c r="R57" s="25">
        <f t="shared" si="31"/>
        <v>7772.72</v>
      </c>
      <c r="T57" s="37" t="s">
        <v>203</v>
      </c>
    </row>
    <row r="58" ht="90.0" customHeight="1">
      <c r="A58" s="25"/>
      <c r="B58" s="24" t="s">
        <v>201</v>
      </c>
      <c r="C58" s="29" t="s">
        <v>202</v>
      </c>
      <c r="G58" s="24">
        <v>2000.0</v>
      </c>
      <c r="H58" s="24">
        <v>5336.0</v>
      </c>
      <c r="L58" s="24">
        <v>1500.0</v>
      </c>
      <c r="M58" s="25">
        <f t="shared" si="29"/>
        <v>6836</v>
      </c>
      <c r="O58" s="24">
        <f t="shared" si="30"/>
        <v>136.72</v>
      </c>
      <c r="Q58" s="24">
        <v>500.0</v>
      </c>
      <c r="R58" s="25">
        <f t="shared" si="31"/>
        <v>7472.72</v>
      </c>
      <c r="T58" s="37" t="s">
        <v>203</v>
      </c>
    </row>
    <row r="59" ht="90.0" customHeight="1">
      <c r="A59" s="25"/>
      <c r="B59" s="24" t="s">
        <v>204</v>
      </c>
      <c r="C59" s="29" t="s">
        <v>202</v>
      </c>
      <c r="G59" s="24">
        <v>300.0</v>
      </c>
      <c r="H59" s="24">
        <v>5550.0</v>
      </c>
      <c r="L59" s="24">
        <v>1500.0</v>
      </c>
      <c r="M59" s="25">
        <f t="shared" si="29"/>
        <v>7050</v>
      </c>
      <c r="O59" s="24">
        <f t="shared" si="30"/>
        <v>141</v>
      </c>
      <c r="Q59" s="24">
        <v>1000.0</v>
      </c>
      <c r="R59" s="25">
        <f t="shared" si="31"/>
        <v>8191</v>
      </c>
      <c r="T59" s="37" t="s">
        <v>203</v>
      </c>
    </row>
    <row r="60" ht="90.0" customHeight="1">
      <c r="A60" s="25"/>
      <c r="B60" s="24" t="s">
        <v>204</v>
      </c>
      <c r="C60" s="29" t="s">
        <v>202</v>
      </c>
      <c r="G60" s="24">
        <v>1000.0</v>
      </c>
      <c r="H60" s="24">
        <v>5550.0</v>
      </c>
      <c r="L60" s="24">
        <v>1500.0</v>
      </c>
      <c r="M60" s="25">
        <f t="shared" si="29"/>
        <v>7050</v>
      </c>
      <c r="O60" s="24">
        <f t="shared" si="30"/>
        <v>141</v>
      </c>
      <c r="Q60" s="24">
        <v>800.0</v>
      </c>
      <c r="R60" s="25">
        <f t="shared" si="31"/>
        <v>7991</v>
      </c>
      <c r="T60" s="37" t="s">
        <v>203</v>
      </c>
    </row>
    <row r="61" ht="90.0" customHeight="1">
      <c r="A61" s="25"/>
      <c r="B61" s="24" t="s">
        <v>204</v>
      </c>
      <c r="C61" s="29" t="s">
        <v>202</v>
      </c>
      <c r="G61" s="24">
        <v>2000.0</v>
      </c>
      <c r="H61" s="24">
        <v>5550.0</v>
      </c>
      <c r="L61" s="24">
        <v>1500.0</v>
      </c>
      <c r="M61" s="25">
        <f t="shared" si="29"/>
        <v>7050</v>
      </c>
      <c r="O61" s="24">
        <f t="shared" si="30"/>
        <v>141</v>
      </c>
      <c r="Q61" s="24">
        <v>500.0</v>
      </c>
      <c r="R61" s="25">
        <f t="shared" si="31"/>
        <v>7691</v>
      </c>
      <c r="T61" s="37" t="s">
        <v>203</v>
      </c>
    </row>
    <row r="62" ht="90.0" customHeight="1">
      <c r="A62" s="25"/>
      <c r="B62" s="24" t="s">
        <v>128</v>
      </c>
      <c r="C62" s="24" t="s">
        <v>205</v>
      </c>
      <c r="D62" s="24">
        <v>5500000.0</v>
      </c>
      <c r="E62" s="24">
        <v>230000.0</v>
      </c>
      <c r="F62" s="24">
        <v>2500.0</v>
      </c>
      <c r="G62" s="24">
        <f>72*3</f>
        <v>216</v>
      </c>
      <c r="H62" s="25">
        <f>7.9*F62</f>
        <v>19750</v>
      </c>
      <c r="I62" s="25">
        <f t="shared" ref="I62:I71" si="36">1*F62</f>
        <v>2500</v>
      </c>
      <c r="J62" s="25">
        <f>37.5*28.5*31.5*3/1000000*D62/G62</f>
        <v>2571.679688</v>
      </c>
      <c r="K62" s="25">
        <f>10*3*E62/G62</f>
        <v>31944.44444</v>
      </c>
      <c r="L62" s="24">
        <v>5000.0</v>
      </c>
      <c r="M62" s="25">
        <f t="shared" si="29"/>
        <v>29821.67969</v>
      </c>
      <c r="N62" s="25">
        <f t="shared" ref="N62:N71" si="37">H62+I62+K62+L62</f>
        <v>59194.44444</v>
      </c>
      <c r="O62" s="24">
        <f t="shared" si="30"/>
        <v>596.4335938</v>
      </c>
      <c r="P62" s="24">
        <f t="shared" ref="P62:P71" si="38">2*N62/100</f>
        <v>1183.888889</v>
      </c>
      <c r="Q62" s="24">
        <v>30000.0</v>
      </c>
      <c r="R62" s="25">
        <f t="shared" si="31"/>
        <v>60418.11328</v>
      </c>
      <c r="S62" s="25">
        <f t="shared" ref="S62:S71" si="39">N62+P62+Q62</f>
        <v>90378.33333</v>
      </c>
      <c r="T62" s="24" t="s">
        <v>206</v>
      </c>
    </row>
    <row r="63" ht="90.0" customHeight="1">
      <c r="A63" s="25"/>
      <c r="B63" s="24" t="s">
        <v>128</v>
      </c>
      <c r="C63" s="24" t="s">
        <v>205</v>
      </c>
      <c r="D63" s="24">
        <v>5500000.0</v>
      </c>
      <c r="E63" s="24">
        <v>230000.0</v>
      </c>
      <c r="F63" s="24">
        <v>2500.0</v>
      </c>
      <c r="G63" s="24">
        <v>144.0</v>
      </c>
      <c r="H63" s="25">
        <f>11.1*F63</f>
        <v>27750</v>
      </c>
      <c r="I63" s="25">
        <f t="shared" si="36"/>
        <v>2500</v>
      </c>
      <c r="J63" s="25">
        <f>45.5*30*48*2/1000000*D63/G63</f>
        <v>5005</v>
      </c>
      <c r="K63" s="25">
        <f>14*2*E63/G63</f>
        <v>44722.22222</v>
      </c>
      <c r="L63" s="24">
        <v>5000.0</v>
      </c>
      <c r="M63" s="25">
        <f t="shared" si="29"/>
        <v>40255</v>
      </c>
      <c r="N63" s="25">
        <f t="shared" si="37"/>
        <v>79972.22222</v>
      </c>
      <c r="O63" s="24">
        <f t="shared" si="30"/>
        <v>805.1</v>
      </c>
      <c r="P63" s="24">
        <f t="shared" si="38"/>
        <v>1599.444444</v>
      </c>
      <c r="Q63" s="24">
        <v>30000.0</v>
      </c>
      <c r="R63" s="25">
        <f t="shared" si="31"/>
        <v>71060.1</v>
      </c>
      <c r="S63" s="25">
        <f t="shared" si="39"/>
        <v>111571.6667</v>
      </c>
      <c r="T63" s="24" t="s">
        <v>207</v>
      </c>
    </row>
    <row r="64" ht="90.0" customHeight="1">
      <c r="A64" s="25"/>
      <c r="B64" s="24" t="s">
        <v>128</v>
      </c>
      <c r="C64" s="24" t="s">
        <v>205</v>
      </c>
      <c r="D64" s="24">
        <v>5500000.0</v>
      </c>
      <c r="E64" s="24">
        <v>230000.0</v>
      </c>
      <c r="F64" s="24">
        <v>2500.0</v>
      </c>
      <c r="G64" s="24">
        <v>144.0</v>
      </c>
      <c r="H64" s="25">
        <f>14.4*F64</f>
        <v>36000</v>
      </c>
      <c r="I64" s="25">
        <f t="shared" si="36"/>
        <v>2500</v>
      </c>
      <c r="J64" s="25">
        <f>50.5*32.5*47.5*2/1000000*D64/G64</f>
        <v>5955.230035</v>
      </c>
      <c r="K64" s="25">
        <f>17*2*E64/G64</f>
        <v>54305.55556</v>
      </c>
      <c r="L64" s="24">
        <v>5000.0</v>
      </c>
      <c r="M64" s="25">
        <f t="shared" si="29"/>
        <v>49455.23003</v>
      </c>
      <c r="N64" s="25">
        <f t="shared" si="37"/>
        <v>97805.55556</v>
      </c>
      <c r="O64" s="24">
        <f t="shared" si="30"/>
        <v>989.1046007</v>
      </c>
      <c r="P64" s="24">
        <f t="shared" si="38"/>
        <v>1956.111111</v>
      </c>
      <c r="Q64" s="24">
        <v>30000.0</v>
      </c>
      <c r="R64" s="25">
        <f t="shared" si="31"/>
        <v>80444.33464</v>
      </c>
      <c r="S64" s="25">
        <f t="shared" si="39"/>
        <v>129761.6667</v>
      </c>
      <c r="T64" s="24" t="s">
        <v>208</v>
      </c>
    </row>
    <row r="65" ht="90.0" customHeight="1">
      <c r="A65" s="25"/>
      <c r="B65" s="24" t="s">
        <v>128</v>
      </c>
      <c r="C65" s="24" t="s">
        <v>205</v>
      </c>
      <c r="D65" s="24">
        <v>5500000.0</v>
      </c>
      <c r="E65" s="24">
        <v>230000.0</v>
      </c>
      <c r="F65" s="24">
        <v>2500.0</v>
      </c>
      <c r="G65" s="24">
        <v>1152.0</v>
      </c>
      <c r="H65" s="25">
        <f>5.7*F65</f>
        <v>14250</v>
      </c>
      <c r="I65" s="25">
        <f t="shared" si="36"/>
        <v>2500</v>
      </c>
      <c r="J65" s="25">
        <f t="shared" ref="J65:J66" si="40">44*42.5*51.5*4/1000000*D65/G65</f>
        <v>1839.157986</v>
      </c>
      <c r="K65" s="25">
        <f t="shared" ref="K65:K66" si="41">19*4*E65/G65</f>
        <v>15173.61111</v>
      </c>
      <c r="L65" s="24">
        <v>5000.0</v>
      </c>
      <c r="M65" s="25">
        <f t="shared" si="29"/>
        <v>23589.15799</v>
      </c>
      <c r="N65" s="25">
        <f t="shared" si="37"/>
        <v>36923.61111</v>
      </c>
      <c r="O65" s="24">
        <f t="shared" si="30"/>
        <v>471.7831597</v>
      </c>
      <c r="P65" s="24">
        <f t="shared" si="38"/>
        <v>738.4722222</v>
      </c>
      <c r="Q65" s="24">
        <v>7000.0</v>
      </c>
      <c r="R65" s="25">
        <f t="shared" si="31"/>
        <v>31060.94115</v>
      </c>
      <c r="S65" s="25">
        <f t="shared" si="39"/>
        <v>44662.08333</v>
      </c>
      <c r="T65" s="24" t="s">
        <v>209</v>
      </c>
    </row>
    <row r="66" ht="90.0" customHeight="1">
      <c r="A66" s="25"/>
      <c r="B66" s="24" t="s">
        <v>128</v>
      </c>
      <c r="C66" s="24" t="s">
        <v>205</v>
      </c>
      <c r="D66" s="24">
        <v>5500000.0</v>
      </c>
      <c r="E66" s="24">
        <v>230000.0</v>
      </c>
      <c r="F66" s="24">
        <v>2500.0</v>
      </c>
      <c r="G66" s="24">
        <v>1152.0</v>
      </c>
      <c r="H66" s="25">
        <f>6.5*F66</f>
        <v>16250</v>
      </c>
      <c r="I66" s="25">
        <f t="shared" si="36"/>
        <v>2500</v>
      </c>
      <c r="J66" s="25">
        <f t="shared" si="40"/>
        <v>1839.157986</v>
      </c>
      <c r="K66" s="25">
        <f t="shared" si="41"/>
        <v>15173.61111</v>
      </c>
      <c r="L66" s="24">
        <v>5000.0</v>
      </c>
      <c r="M66" s="25">
        <f t="shared" si="29"/>
        <v>25589.15799</v>
      </c>
      <c r="N66" s="25">
        <f t="shared" si="37"/>
        <v>38923.61111</v>
      </c>
      <c r="O66" s="24">
        <f t="shared" si="30"/>
        <v>511.7831597</v>
      </c>
      <c r="P66" s="24">
        <f t="shared" si="38"/>
        <v>778.4722222</v>
      </c>
      <c r="Q66" s="24">
        <v>7000.0</v>
      </c>
      <c r="R66" s="25">
        <f t="shared" si="31"/>
        <v>33100.94115</v>
      </c>
      <c r="S66" s="25">
        <f t="shared" si="39"/>
        <v>46702.08333</v>
      </c>
      <c r="T66" s="24" t="s">
        <v>210</v>
      </c>
    </row>
    <row r="67" ht="90.0" customHeight="1">
      <c r="A67" s="25"/>
      <c r="B67" s="24" t="s">
        <v>128</v>
      </c>
      <c r="C67" s="24" t="s">
        <v>205</v>
      </c>
      <c r="D67" s="24">
        <v>5500000.0</v>
      </c>
      <c r="E67" s="24">
        <v>230000.0</v>
      </c>
      <c r="F67" s="24">
        <v>2500.0</v>
      </c>
      <c r="G67" s="24">
        <v>1056.0</v>
      </c>
      <c r="H67" s="25">
        <f>6.9*F67</f>
        <v>17250</v>
      </c>
      <c r="I67" s="25">
        <f t="shared" si="36"/>
        <v>2500</v>
      </c>
      <c r="J67" s="25">
        <f t="shared" ref="J67:J68" si="42">34.5*30*46*11/1000000*D67/G67</f>
        <v>2727.65625</v>
      </c>
      <c r="K67" s="25">
        <f t="shared" ref="K67:K68" si="43">10*11*E67/G67</f>
        <v>23958.33333</v>
      </c>
      <c r="L67" s="24">
        <v>5000.0</v>
      </c>
      <c r="M67" s="25">
        <f t="shared" si="29"/>
        <v>27477.65625</v>
      </c>
      <c r="N67" s="25">
        <f t="shared" si="37"/>
        <v>48708.33333</v>
      </c>
      <c r="O67" s="24">
        <f t="shared" si="30"/>
        <v>549.553125</v>
      </c>
      <c r="P67" s="24">
        <f t="shared" si="38"/>
        <v>974.1666667</v>
      </c>
      <c r="Q67" s="24">
        <v>7000.0</v>
      </c>
      <c r="R67" s="25">
        <f t="shared" si="31"/>
        <v>35027.20938</v>
      </c>
      <c r="S67" s="25">
        <f t="shared" si="39"/>
        <v>56682.5</v>
      </c>
      <c r="T67" s="24" t="s">
        <v>211</v>
      </c>
    </row>
    <row r="68" ht="90.0" customHeight="1">
      <c r="A68" s="25"/>
      <c r="B68" s="24" t="s">
        <v>128</v>
      </c>
      <c r="C68" s="24" t="s">
        <v>205</v>
      </c>
      <c r="D68" s="24">
        <v>5500000.0</v>
      </c>
      <c r="E68" s="24">
        <v>230000.0</v>
      </c>
      <c r="F68" s="24">
        <v>2500.0</v>
      </c>
      <c r="G68" s="24">
        <v>1056.0</v>
      </c>
      <c r="H68" s="25">
        <f>7.8*F68</f>
        <v>19500</v>
      </c>
      <c r="I68" s="25">
        <f t="shared" si="36"/>
        <v>2500</v>
      </c>
      <c r="J68" s="25">
        <f t="shared" si="42"/>
        <v>2727.65625</v>
      </c>
      <c r="K68" s="25">
        <f t="shared" si="43"/>
        <v>23958.33333</v>
      </c>
      <c r="L68" s="24">
        <v>5000.0</v>
      </c>
      <c r="M68" s="25">
        <f t="shared" si="29"/>
        <v>29727.65625</v>
      </c>
      <c r="N68" s="25">
        <f t="shared" si="37"/>
        <v>50958.33333</v>
      </c>
      <c r="O68" s="24">
        <f t="shared" si="30"/>
        <v>594.553125</v>
      </c>
      <c r="P68" s="24">
        <f t="shared" si="38"/>
        <v>1019.166667</v>
      </c>
      <c r="Q68" s="24">
        <v>7000.0</v>
      </c>
      <c r="R68" s="25">
        <f t="shared" si="31"/>
        <v>37322.20938</v>
      </c>
      <c r="S68" s="25">
        <f t="shared" si="39"/>
        <v>58977.5</v>
      </c>
      <c r="T68" s="24" t="s">
        <v>212</v>
      </c>
    </row>
    <row r="69" ht="90.0" customHeight="1">
      <c r="A69" s="25"/>
      <c r="B69" s="24" t="s">
        <v>128</v>
      </c>
      <c r="C69" s="24" t="s">
        <v>205</v>
      </c>
      <c r="D69" s="24">
        <v>5500000.0</v>
      </c>
      <c r="E69" s="24">
        <v>230000.0</v>
      </c>
      <c r="F69" s="24">
        <v>2500.0</v>
      </c>
      <c r="G69" s="24">
        <v>1008.0</v>
      </c>
      <c r="H69" s="25">
        <f>6.5*F69</f>
        <v>16250</v>
      </c>
      <c r="I69" s="25">
        <f t="shared" si="36"/>
        <v>2500</v>
      </c>
      <c r="J69" s="25">
        <f t="shared" ref="J69:J70" si="44">45*23.5*28*14/1000000*D69/G69</f>
        <v>2261.875</v>
      </c>
      <c r="K69" s="25">
        <f t="shared" ref="K69:K70" si="45">7*14*E69/G69</f>
        <v>22361.11111</v>
      </c>
      <c r="L69" s="24">
        <v>5000.0</v>
      </c>
      <c r="M69" s="25">
        <f t="shared" si="29"/>
        <v>26011.875</v>
      </c>
      <c r="N69" s="25">
        <f t="shared" si="37"/>
        <v>46111.11111</v>
      </c>
      <c r="O69" s="24">
        <f t="shared" si="30"/>
        <v>520.2375</v>
      </c>
      <c r="P69" s="24">
        <f t="shared" si="38"/>
        <v>922.2222222</v>
      </c>
      <c r="Q69" s="24">
        <v>7000.0</v>
      </c>
      <c r="R69" s="25">
        <f t="shared" si="31"/>
        <v>33532.1125</v>
      </c>
      <c r="S69" s="25">
        <f t="shared" si="39"/>
        <v>54033.33333</v>
      </c>
      <c r="T69" s="24" t="s">
        <v>213</v>
      </c>
    </row>
    <row r="70" ht="90.0" customHeight="1">
      <c r="A70" s="25"/>
      <c r="B70" s="24" t="s">
        <v>128</v>
      </c>
      <c r="C70" s="24" t="s">
        <v>205</v>
      </c>
      <c r="D70" s="24">
        <v>5500000.0</v>
      </c>
      <c r="E70" s="24">
        <v>230000.0</v>
      </c>
      <c r="F70" s="24">
        <v>2500.0</v>
      </c>
      <c r="G70" s="24">
        <v>1008.0</v>
      </c>
      <c r="H70" s="25">
        <f>7.4*F70</f>
        <v>18500</v>
      </c>
      <c r="I70" s="25">
        <f t="shared" si="36"/>
        <v>2500</v>
      </c>
      <c r="J70" s="25">
        <f t="shared" si="44"/>
        <v>2261.875</v>
      </c>
      <c r="K70" s="25">
        <f t="shared" si="45"/>
        <v>22361.11111</v>
      </c>
      <c r="L70" s="24">
        <v>5000.0</v>
      </c>
      <c r="M70" s="25">
        <f t="shared" si="29"/>
        <v>28261.875</v>
      </c>
      <c r="N70" s="25">
        <f t="shared" si="37"/>
        <v>48361.11111</v>
      </c>
      <c r="O70" s="24">
        <f t="shared" si="30"/>
        <v>565.2375</v>
      </c>
      <c r="P70" s="24">
        <f t="shared" si="38"/>
        <v>967.2222222</v>
      </c>
      <c r="Q70" s="24">
        <v>7000.0</v>
      </c>
      <c r="R70" s="25">
        <f t="shared" si="31"/>
        <v>35827.1125</v>
      </c>
      <c r="S70" s="25">
        <f t="shared" si="39"/>
        <v>56328.33333</v>
      </c>
      <c r="T70" s="24" t="s">
        <v>214</v>
      </c>
    </row>
    <row r="71" ht="90.0" customHeight="1">
      <c r="A71" s="25"/>
      <c r="B71" s="24" t="s">
        <v>128</v>
      </c>
      <c r="C71" s="24" t="s">
        <v>215</v>
      </c>
      <c r="D71" s="24">
        <v>5500000.0</v>
      </c>
      <c r="E71" s="24">
        <v>230000.0</v>
      </c>
      <c r="F71" s="24">
        <v>2500.0</v>
      </c>
      <c r="G71" s="24">
        <v>100.0</v>
      </c>
      <c r="H71" s="25">
        <f>5*F71</f>
        <v>12500</v>
      </c>
      <c r="I71" s="25">
        <f t="shared" si="36"/>
        <v>2500</v>
      </c>
      <c r="J71" s="25">
        <f t="shared" ref="J71:J73" si="46">0.1*D71/G71</f>
        <v>5500</v>
      </c>
      <c r="K71" s="25">
        <f>14*E71/G71</f>
        <v>32200</v>
      </c>
      <c r="L71" s="24">
        <v>5000.0</v>
      </c>
      <c r="M71" s="25">
        <f t="shared" si="29"/>
        <v>25500</v>
      </c>
      <c r="N71" s="25">
        <f t="shared" si="37"/>
        <v>52200</v>
      </c>
      <c r="O71" s="24">
        <f t="shared" si="30"/>
        <v>510</v>
      </c>
      <c r="P71" s="24">
        <f t="shared" si="38"/>
        <v>1044</v>
      </c>
      <c r="Q71" s="24">
        <v>7000.0</v>
      </c>
      <c r="R71" s="25">
        <f t="shared" si="31"/>
        <v>33010</v>
      </c>
      <c r="S71" s="25">
        <f t="shared" si="39"/>
        <v>60244</v>
      </c>
      <c r="T71" s="24" t="s">
        <v>216</v>
      </c>
    </row>
    <row r="72" ht="90.0" customHeight="1">
      <c r="A72" s="25"/>
      <c r="B72" s="24" t="s">
        <v>128</v>
      </c>
      <c r="C72" s="24" t="s">
        <v>217</v>
      </c>
      <c r="D72" s="24">
        <v>5500000.0</v>
      </c>
      <c r="E72" s="24">
        <v>230000.0</v>
      </c>
      <c r="F72" s="24">
        <v>2500.0</v>
      </c>
      <c r="G72" s="24">
        <v>96.0</v>
      </c>
      <c r="H72" s="25">
        <f>4.36*F72</f>
        <v>10900</v>
      </c>
      <c r="J72" s="25">
        <f t="shared" si="46"/>
        <v>5729.166667</v>
      </c>
      <c r="L72" s="24">
        <v>5000.0</v>
      </c>
      <c r="M72" s="25">
        <f t="shared" si="29"/>
        <v>21629.16667</v>
      </c>
      <c r="O72" s="24">
        <f t="shared" si="30"/>
        <v>432.5833333</v>
      </c>
      <c r="Q72" s="24">
        <v>7000.0</v>
      </c>
      <c r="R72" s="25">
        <f t="shared" si="31"/>
        <v>29061.75</v>
      </c>
      <c r="T72" s="38" t="s">
        <v>218</v>
      </c>
    </row>
    <row r="73" ht="90.0" customHeight="1">
      <c r="A73" s="25"/>
      <c r="B73" s="24" t="s">
        <v>128</v>
      </c>
      <c r="C73" s="24" t="s">
        <v>217</v>
      </c>
      <c r="D73" s="24">
        <v>5500000.0</v>
      </c>
      <c r="E73" s="24">
        <v>230000.0</v>
      </c>
      <c r="F73" s="24">
        <v>2500.0</v>
      </c>
      <c r="G73" s="24">
        <v>96.0</v>
      </c>
      <c r="H73" s="25">
        <f>4.5*F73</f>
        <v>11250</v>
      </c>
      <c r="J73" s="25">
        <f t="shared" si="46"/>
        <v>5729.166667</v>
      </c>
      <c r="L73" s="24">
        <v>5000.0</v>
      </c>
      <c r="M73" s="25">
        <f t="shared" si="29"/>
        <v>21979.16667</v>
      </c>
      <c r="O73" s="24">
        <f t="shared" si="30"/>
        <v>439.5833333</v>
      </c>
      <c r="Q73" s="24">
        <v>7000.0</v>
      </c>
      <c r="R73" s="25">
        <f t="shared" si="31"/>
        <v>29418.75</v>
      </c>
      <c r="T73" s="38" t="s">
        <v>219</v>
      </c>
    </row>
    <row r="74" ht="90.0" customHeight="1">
      <c r="A74" s="25"/>
      <c r="B74" s="24" t="s">
        <v>128</v>
      </c>
      <c r="C74" s="24" t="s">
        <v>217</v>
      </c>
      <c r="D74" s="24">
        <v>5500000.0</v>
      </c>
      <c r="E74" s="24">
        <v>230000.0</v>
      </c>
      <c r="F74" s="24">
        <v>2500.0</v>
      </c>
      <c r="G74" s="24">
        <v>108.0</v>
      </c>
      <c r="H74" s="25">
        <f t="shared" ref="H74:H75" si="47">6.04*F74</f>
        <v>15100</v>
      </c>
      <c r="J74" s="25">
        <f t="shared" ref="J74:J75" si="48">0.12*D74/G74</f>
        <v>6111.111111</v>
      </c>
      <c r="L74" s="24">
        <v>5000.0</v>
      </c>
      <c r="M74" s="25">
        <f t="shared" si="29"/>
        <v>26211.11111</v>
      </c>
      <c r="O74" s="24">
        <f t="shared" si="30"/>
        <v>524.2222222</v>
      </c>
      <c r="Q74" s="24">
        <v>7000.0</v>
      </c>
      <c r="R74" s="25">
        <f t="shared" si="31"/>
        <v>33735.33333</v>
      </c>
      <c r="T74" s="38" t="s">
        <v>220</v>
      </c>
    </row>
    <row r="75" ht="90.0" customHeight="1">
      <c r="A75" s="25"/>
      <c r="B75" s="24" t="s">
        <v>128</v>
      </c>
      <c r="C75" s="24" t="s">
        <v>217</v>
      </c>
      <c r="D75" s="24">
        <v>5500000.0</v>
      </c>
      <c r="E75" s="24">
        <v>230000.0</v>
      </c>
      <c r="F75" s="24">
        <v>2500.0</v>
      </c>
      <c r="G75" s="24">
        <v>108.0</v>
      </c>
      <c r="H75" s="25">
        <f t="shared" si="47"/>
        <v>15100</v>
      </c>
      <c r="J75" s="25">
        <f t="shared" si="48"/>
        <v>6111.111111</v>
      </c>
      <c r="L75" s="24">
        <v>5000.0</v>
      </c>
      <c r="M75" s="25">
        <f t="shared" si="29"/>
        <v>26211.11111</v>
      </c>
      <c r="O75" s="24">
        <f t="shared" si="30"/>
        <v>524.2222222</v>
      </c>
      <c r="Q75" s="24">
        <v>7000.0</v>
      </c>
      <c r="R75" s="25">
        <f t="shared" si="31"/>
        <v>33735.33333</v>
      </c>
      <c r="T75" s="38" t="s">
        <v>221</v>
      </c>
    </row>
    <row r="76" ht="90.0" customHeight="1">
      <c r="A76" s="25"/>
      <c r="B76" s="24" t="s">
        <v>128</v>
      </c>
      <c r="C76" s="24" t="s">
        <v>205</v>
      </c>
      <c r="D76" s="24">
        <v>5500000.0</v>
      </c>
      <c r="E76" s="24">
        <v>300000.0</v>
      </c>
      <c r="F76" s="24">
        <v>2500.0</v>
      </c>
      <c r="G76" s="24">
        <v>144.0</v>
      </c>
      <c r="H76" s="25">
        <f>12.5*F76</f>
        <v>31250</v>
      </c>
      <c r="I76" s="25">
        <f t="shared" ref="I76:I79" si="49">1*F76</f>
        <v>2500</v>
      </c>
      <c r="J76" s="25">
        <f>49.5*32*44.5*2/1000000*D76/G76</f>
        <v>5384.5</v>
      </c>
      <c r="K76" s="25">
        <f>28*E76/G76</f>
        <v>58333.33333</v>
      </c>
      <c r="L76" s="24">
        <v>5000.0</v>
      </c>
      <c r="M76" s="25">
        <f t="shared" si="29"/>
        <v>44134.5</v>
      </c>
      <c r="N76" s="25">
        <f t="shared" ref="N76:N81" si="50">H76+I76+K76+L76</f>
        <v>97083.33333</v>
      </c>
      <c r="O76" s="24">
        <f t="shared" si="30"/>
        <v>882.69</v>
      </c>
      <c r="P76" s="24">
        <f t="shared" ref="P76:P81" si="51">2*N76/100</f>
        <v>1941.666667</v>
      </c>
      <c r="Q76" s="24">
        <v>15000.0</v>
      </c>
      <c r="R76" s="25">
        <f t="shared" si="31"/>
        <v>60017.19</v>
      </c>
      <c r="S76" s="25">
        <f t="shared" ref="S76:S81" si="52">N76+P76+Q76</f>
        <v>114025</v>
      </c>
      <c r="T76" s="24" t="s">
        <v>222</v>
      </c>
    </row>
    <row r="77" ht="90.0" customHeight="1">
      <c r="A77" s="25"/>
      <c r="B77" s="24" t="s">
        <v>128</v>
      </c>
      <c r="C77" s="24" t="s">
        <v>205</v>
      </c>
      <c r="D77" s="24">
        <v>5500000.0</v>
      </c>
      <c r="E77" s="24">
        <v>300000.0</v>
      </c>
      <c r="F77" s="24">
        <v>2500.0</v>
      </c>
      <c r="G77" s="24">
        <v>96.0</v>
      </c>
      <c r="H77" s="25">
        <f>10.9*F77</f>
        <v>27250</v>
      </c>
      <c r="I77" s="25">
        <f t="shared" si="49"/>
        <v>2500</v>
      </c>
      <c r="J77" s="25">
        <f t="shared" ref="J77:J78" si="53">0.1*D77/G77</f>
        <v>5729.166667</v>
      </c>
      <c r="K77" s="25">
        <f>20*E77/G77</f>
        <v>62500</v>
      </c>
      <c r="L77" s="24">
        <v>5000.0</v>
      </c>
      <c r="M77" s="25">
        <f t="shared" si="29"/>
        <v>40479.16667</v>
      </c>
      <c r="N77" s="25">
        <f t="shared" si="50"/>
        <v>97250</v>
      </c>
      <c r="O77" s="24">
        <f t="shared" si="30"/>
        <v>809.5833333</v>
      </c>
      <c r="P77" s="24">
        <f t="shared" si="51"/>
        <v>1945</v>
      </c>
      <c r="Q77" s="24">
        <v>15000.0</v>
      </c>
      <c r="R77" s="25">
        <f t="shared" si="31"/>
        <v>56288.75</v>
      </c>
      <c r="S77" s="25">
        <f t="shared" si="52"/>
        <v>114195</v>
      </c>
      <c r="T77" s="24" t="s">
        <v>223</v>
      </c>
    </row>
    <row r="78" ht="90.0" customHeight="1">
      <c r="A78" s="25"/>
      <c r="B78" s="24" t="s">
        <v>128</v>
      </c>
      <c r="C78" s="24" t="s">
        <v>205</v>
      </c>
      <c r="D78" s="24">
        <v>5500000.0</v>
      </c>
      <c r="E78" s="24">
        <v>300000.0</v>
      </c>
      <c r="F78" s="24">
        <v>2500.0</v>
      </c>
      <c r="G78" s="24">
        <v>48.0</v>
      </c>
      <c r="H78" s="25">
        <f>11.4*F78</f>
        <v>28500</v>
      </c>
      <c r="I78" s="25">
        <f t="shared" si="49"/>
        <v>2500</v>
      </c>
      <c r="J78" s="25">
        <f t="shared" si="53"/>
        <v>11458.33333</v>
      </c>
      <c r="K78" s="25">
        <f>18*E78/G78</f>
        <v>112500</v>
      </c>
      <c r="L78" s="24">
        <v>5000.0</v>
      </c>
      <c r="M78" s="25">
        <f t="shared" si="29"/>
        <v>47458.33333</v>
      </c>
      <c r="N78" s="25">
        <f t="shared" si="50"/>
        <v>148500</v>
      </c>
      <c r="O78" s="24">
        <f t="shared" si="30"/>
        <v>949.1666667</v>
      </c>
      <c r="P78" s="24">
        <f t="shared" si="51"/>
        <v>2970</v>
      </c>
      <c r="Q78" s="24">
        <v>15000.0</v>
      </c>
      <c r="R78" s="25">
        <f t="shared" si="31"/>
        <v>63407.5</v>
      </c>
      <c r="S78" s="25">
        <f t="shared" si="52"/>
        <v>166470</v>
      </c>
      <c r="T78" s="24" t="s">
        <v>224</v>
      </c>
    </row>
    <row r="79" ht="90.0" customHeight="1">
      <c r="A79" s="25"/>
      <c r="B79" s="24" t="s">
        <v>128</v>
      </c>
      <c r="C79" s="24" t="s">
        <v>205</v>
      </c>
      <c r="D79" s="24">
        <v>5500000.0</v>
      </c>
      <c r="E79" s="24">
        <v>300000.0</v>
      </c>
      <c r="F79" s="24">
        <v>2500.0</v>
      </c>
      <c r="G79" s="24">
        <v>144.0</v>
      </c>
      <c r="H79" s="25">
        <f>9.7*F79</f>
        <v>24250</v>
      </c>
      <c r="I79" s="25">
        <f t="shared" si="49"/>
        <v>2500</v>
      </c>
      <c r="J79" s="25">
        <f>40*29.5*40*2/1000000*D79/G79</f>
        <v>3605.555556</v>
      </c>
      <c r="K79" s="25">
        <f>34*E79/G79</f>
        <v>70833.33333</v>
      </c>
      <c r="L79" s="24">
        <v>5000.0</v>
      </c>
      <c r="M79" s="25">
        <f t="shared" si="29"/>
        <v>35355.55556</v>
      </c>
      <c r="N79" s="25">
        <f t="shared" si="50"/>
        <v>102583.3333</v>
      </c>
      <c r="O79" s="24">
        <f t="shared" si="30"/>
        <v>707.1111111</v>
      </c>
      <c r="P79" s="24">
        <f t="shared" si="51"/>
        <v>2051.666667</v>
      </c>
      <c r="Q79" s="24">
        <v>15000.0</v>
      </c>
      <c r="R79" s="25">
        <f t="shared" si="31"/>
        <v>51062.66667</v>
      </c>
      <c r="S79" s="25">
        <f t="shared" si="52"/>
        <v>119635</v>
      </c>
      <c r="T79" s="24" t="s">
        <v>225</v>
      </c>
    </row>
    <row r="80" ht="90.0" customHeight="1">
      <c r="A80" s="25"/>
      <c r="B80" s="24" t="s">
        <v>226</v>
      </c>
      <c r="C80" s="24" t="s">
        <v>227</v>
      </c>
      <c r="D80" s="24">
        <v>6000000.0</v>
      </c>
      <c r="E80" s="24">
        <v>300000.0</v>
      </c>
      <c r="F80" s="24">
        <v>2500.0</v>
      </c>
      <c r="G80" s="24">
        <v>3.0</v>
      </c>
      <c r="H80" s="25">
        <f t="shared" ref="H80:H81" si="54">275*F80</f>
        <v>687500</v>
      </c>
      <c r="I80" s="25">
        <f t="shared" ref="I80:I81" si="55">25*F80</f>
        <v>62500</v>
      </c>
      <c r="J80" s="25">
        <f t="shared" ref="J80:J81" si="56">41*20*41*G80/1000000*D80/G80</f>
        <v>201720</v>
      </c>
      <c r="K80" s="25">
        <f t="shared" ref="K80:K81" si="57">8*E80</f>
        <v>2400000</v>
      </c>
      <c r="L80" s="24">
        <v>50000.0</v>
      </c>
      <c r="M80" s="25">
        <f t="shared" si="29"/>
        <v>1001720</v>
      </c>
      <c r="N80" s="25">
        <f t="shared" si="50"/>
        <v>3200000</v>
      </c>
      <c r="O80" s="24">
        <f t="shared" si="30"/>
        <v>20034.4</v>
      </c>
      <c r="P80" s="24">
        <f t="shared" si="51"/>
        <v>64000</v>
      </c>
      <c r="Q80" s="24">
        <v>200000.0</v>
      </c>
      <c r="R80" s="25">
        <f t="shared" si="31"/>
        <v>1221754.4</v>
      </c>
      <c r="S80" s="25">
        <f t="shared" si="52"/>
        <v>3464000</v>
      </c>
      <c r="T80" s="24" t="s">
        <v>228</v>
      </c>
    </row>
    <row r="81" ht="90.0" customHeight="1">
      <c r="A81" s="25"/>
      <c r="B81" s="24" t="s">
        <v>229</v>
      </c>
      <c r="C81" s="24" t="s">
        <v>227</v>
      </c>
      <c r="D81" s="24">
        <v>6000000.0</v>
      </c>
      <c r="E81" s="24">
        <v>300000.0</v>
      </c>
      <c r="F81" s="24">
        <v>2500.0</v>
      </c>
      <c r="G81" s="24">
        <v>3.0</v>
      </c>
      <c r="H81" s="25">
        <f t="shared" si="54"/>
        <v>687500</v>
      </c>
      <c r="I81" s="25">
        <f t="shared" si="55"/>
        <v>62500</v>
      </c>
      <c r="J81" s="25">
        <f t="shared" si="56"/>
        <v>201720</v>
      </c>
      <c r="K81" s="25">
        <f t="shared" si="57"/>
        <v>2400000</v>
      </c>
      <c r="L81" s="24">
        <v>50000.0</v>
      </c>
      <c r="M81" s="25">
        <f t="shared" si="29"/>
        <v>1001720</v>
      </c>
      <c r="N81" s="25">
        <f t="shared" si="50"/>
        <v>3200000</v>
      </c>
      <c r="O81" s="24">
        <f t="shared" si="30"/>
        <v>20034.4</v>
      </c>
      <c r="P81" s="24">
        <f t="shared" si="51"/>
        <v>64000</v>
      </c>
      <c r="Q81" s="24">
        <v>200000.0</v>
      </c>
      <c r="R81" s="25">
        <f t="shared" si="31"/>
        <v>1221754.4</v>
      </c>
      <c r="S81" s="25">
        <f t="shared" si="52"/>
        <v>3464000</v>
      </c>
      <c r="T81" s="24" t="s">
        <v>230</v>
      </c>
    </row>
    <row r="82" ht="90.0" customHeight="1">
      <c r="A82" s="25"/>
      <c r="B82" s="24" t="s">
        <v>231</v>
      </c>
      <c r="C82" s="24" t="s">
        <v>232</v>
      </c>
      <c r="D82" s="24">
        <v>7000000.0</v>
      </c>
      <c r="E82" s="24">
        <v>300000.0</v>
      </c>
      <c r="F82" s="24">
        <v>2700.0</v>
      </c>
      <c r="G82" s="24">
        <v>500.0</v>
      </c>
      <c r="H82" s="25">
        <f>3.93*F82</f>
        <v>10611</v>
      </c>
      <c r="I82" s="25">
        <f>1.34*F82</f>
        <v>3618</v>
      </c>
      <c r="J82" s="25">
        <f>46*46*56*10/1000000*D82/G82</f>
        <v>16589.44</v>
      </c>
      <c r="L82" s="25">
        <f>46*46*56*10/6000/G82*5000*2</f>
        <v>3949.866667</v>
      </c>
      <c r="M82" s="25">
        <f t="shared" si="29"/>
        <v>34768.30667</v>
      </c>
      <c r="O82" s="24">
        <f t="shared" si="30"/>
        <v>695.3661333</v>
      </c>
      <c r="Q82" s="24">
        <v>12500.0</v>
      </c>
      <c r="R82" s="25">
        <f t="shared" si="31"/>
        <v>47963.6728</v>
      </c>
      <c r="T82" s="24" t="s">
        <v>233</v>
      </c>
    </row>
    <row r="83" ht="90.0" customHeight="1">
      <c r="A83" s="25"/>
      <c r="B83" s="24" t="s">
        <v>231</v>
      </c>
      <c r="C83" s="24" t="s">
        <v>232</v>
      </c>
      <c r="D83" s="24">
        <v>7000000.0</v>
      </c>
      <c r="E83" s="24">
        <v>300000.0</v>
      </c>
      <c r="F83" s="24">
        <v>2700.0</v>
      </c>
      <c r="G83" s="24">
        <v>512.0</v>
      </c>
      <c r="H83" s="25">
        <f>30.94*F83</f>
        <v>83538</v>
      </c>
      <c r="I83" s="25">
        <f>3.38*F83</f>
        <v>9126</v>
      </c>
      <c r="J83" s="25">
        <f>51*51*36*32/1000000*D83/G83</f>
        <v>40965.75</v>
      </c>
      <c r="L83" s="25">
        <f>51*51*36*32/6000/G83*5000*2</f>
        <v>9753.75</v>
      </c>
      <c r="M83" s="25">
        <f t="shared" si="29"/>
        <v>143383.5</v>
      </c>
      <c r="O83" s="24">
        <f t="shared" si="30"/>
        <v>2867.67</v>
      </c>
      <c r="Q83" s="24">
        <v>12500.0</v>
      </c>
      <c r="R83" s="25">
        <f t="shared" si="31"/>
        <v>158751.17</v>
      </c>
      <c r="T83" s="24" t="s">
        <v>234</v>
      </c>
    </row>
    <row r="84" ht="90.0" customHeight="1">
      <c r="A84" s="25"/>
      <c r="B84" s="24" t="s">
        <v>231</v>
      </c>
      <c r="C84" s="24" t="s">
        <v>232</v>
      </c>
      <c r="D84" s="24">
        <v>7000000.0</v>
      </c>
      <c r="E84" s="24">
        <v>300000.0</v>
      </c>
      <c r="F84" s="24">
        <v>2700.0</v>
      </c>
      <c r="G84" s="24">
        <v>500.0</v>
      </c>
      <c r="H84" s="25">
        <f>5.36*F84</f>
        <v>14472</v>
      </c>
      <c r="I84" s="25">
        <f>1.58*F84</f>
        <v>4266</v>
      </c>
      <c r="J84" s="25">
        <f>46*46*66*10/1000000*D84/G84</f>
        <v>19551.84</v>
      </c>
      <c r="L84" s="25">
        <f>46*46*66*10/6000/G84*5000*2</f>
        <v>4655.2</v>
      </c>
      <c r="M84" s="25">
        <f t="shared" si="29"/>
        <v>42945.04</v>
      </c>
      <c r="O84" s="24">
        <f t="shared" si="30"/>
        <v>858.9008</v>
      </c>
      <c r="Q84" s="24">
        <v>12500.0</v>
      </c>
      <c r="R84" s="25">
        <f t="shared" si="31"/>
        <v>56303.9408</v>
      </c>
      <c r="T84" s="24" t="s">
        <v>235</v>
      </c>
    </row>
    <row r="85" ht="90.0" customHeight="1">
      <c r="A85" s="25"/>
      <c r="B85" s="24" t="s">
        <v>236</v>
      </c>
      <c r="C85" s="24" t="s">
        <v>237</v>
      </c>
      <c r="D85" s="24">
        <v>6500000.0</v>
      </c>
      <c r="F85" s="24">
        <v>2600.0</v>
      </c>
      <c r="G85" s="24">
        <v>100.0</v>
      </c>
      <c r="H85" s="25">
        <f>165*F85</f>
        <v>429000</v>
      </c>
      <c r="I85" s="25">
        <f t="shared" ref="I85:I86" si="58">15*F85</f>
        <v>39000</v>
      </c>
      <c r="J85" s="25">
        <f t="shared" ref="J85:J86" si="59">6*D85/G85</f>
        <v>390000</v>
      </c>
      <c r="L85" s="25">
        <f t="shared" ref="L85:L86" si="60">15000</f>
        <v>15000</v>
      </c>
      <c r="M85" s="25">
        <f t="shared" si="29"/>
        <v>873000</v>
      </c>
      <c r="O85" s="24">
        <f t="shared" si="30"/>
        <v>17460</v>
      </c>
      <c r="Q85" s="24">
        <v>50000.0</v>
      </c>
      <c r="R85" s="25">
        <f t="shared" si="31"/>
        <v>940460</v>
      </c>
      <c r="T85" s="24" t="s">
        <v>238</v>
      </c>
    </row>
    <row r="86" ht="90.0" customHeight="1">
      <c r="A86" s="25"/>
      <c r="B86" s="24" t="s">
        <v>236</v>
      </c>
      <c r="C86" s="24" t="s">
        <v>237</v>
      </c>
      <c r="D86" s="24">
        <v>6500000.0</v>
      </c>
      <c r="F86" s="24">
        <v>2600.0</v>
      </c>
      <c r="G86" s="24">
        <v>100.0</v>
      </c>
      <c r="H86" s="25">
        <f>160*F86</f>
        <v>416000</v>
      </c>
      <c r="I86" s="25">
        <f t="shared" si="58"/>
        <v>39000</v>
      </c>
      <c r="J86" s="25">
        <f t="shared" si="59"/>
        <v>390000</v>
      </c>
      <c r="L86" s="25">
        <f t="shared" si="60"/>
        <v>15000</v>
      </c>
      <c r="M86" s="25">
        <f t="shared" si="29"/>
        <v>860000</v>
      </c>
      <c r="O86" s="24">
        <f t="shared" si="30"/>
        <v>17200</v>
      </c>
      <c r="Q86" s="24">
        <v>50000.0</v>
      </c>
      <c r="R86" s="25">
        <f t="shared" si="31"/>
        <v>927200</v>
      </c>
      <c r="T86" s="24" t="s">
        <v>238</v>
      </c>
    </row>
    <row r="87" ht="90.0" customHeight="1">
      <c r="A87" s="25"/>
      <c r="B87" s="24" t="s">
        <v>239</v>
      </c>
      <c r="C87" s="24" t="s">
        <v>240</v>
      </c>
      <c r="D87" s="24">
        <v>1.0E7</v>
      </c>
      <c r="F87" s="24">
        <v>2750.0</v>
      </c>
      <c r="G87" s="24">
        <v>1.0</v>
      </c>
      <c r="H87" s="25">
        <f>3800*F87</f>
        <v>10450000</v>
      </c>
      <c r="I87" s="25">
        <f t="shared" ref="I87:I88" si="61">300*F87</f>
        <v>825000</v>
      </c>
      <c r="J87" s="25">
        <f>1*D87</f>
        <v>10000000</v>
      </c>
      <c r="L87" s="24">
        <v>1500000.0</v>
      </c>
      <c r="M87" s="25">
        <f t="shared" si="29"/>
        <v>22775000</v>
      </c>
      <c r="O87" s="24">
        <f t="shared" si="30"/>
        <v>455500</v>
      </c>
      <c r="Q87" s="24">
        <v>1.5E7</v>
      </c>
      <c r="R87" s="25">
        <f t="shared" si="31"/>
        <v>38230500</v>
      </c>
    </row>
    <row r="88" ht="90.0" customHeight="1">
      <c r="A88" s="25"/>
      <c r="B88" s="24" t="s">
        <v>241</v>
      </c>
      <c r="C88" s="24" t="s">
        <v>240</v>
      </c>
      <c r="D88" s="24">
        <v>1.0E7</v>
      </c>
      <c r="F88" s="24">
        <v>2750.0</v>
      </c>
      <c r="G88" s="24">
        <v>1.0</v>
      </c>
      <c r="H88" s="25">
        <f>4200*F88</f>
        <v>11550000</v>
      </c>
      <c r="I88" s="25">
        <f t="shared" si="61"/>
        <v>825000</v>
      </c>
      <c r="J88" s="25">
        <f>1.5*D88</f>
        <v>15000000</v>
      </c>
      <c r="L88" s="24">
        <v>1500000.0</v>
      </c>
      <c r="M88" s="25">
        <f t="shared" si="29"/>
        <v>28875000</v>
      </c>
      <c r="O88" s="24">
        <f t="shared" si="30"/>
        <v>577500</v>
      </c>
      <c r="Q88" s="24">
        <v>1.5E7</v>
      </c>
      <c r="R88" s="25">
        <f t="shared" si="31"/>
        <v>44452500</v>
      </c>
    </row>
    <row r="89" ht="90.0" customHeight="1">
      <c r="A89" s="25"/>
      <c r="B89" s="24" t="s">
        <v>236</v>
      </c>
      <c r="C89" s="24" t="s">
        <v>237</v>
      </c>
      <c r="D89" s="24">
        <v>1.0E7</v>
      </c>
      <c r="F89" s="24">
        <v>2750.0</v>
      </c>
      <c r="G89" s="24">
        <v>100.0</v>
      </c>
      <c r="H89" s="25">
        <f>165*F89</f>
        <v>453750</v>
      </c>
      <c r="I89" s="25">
        <f>20*F89</f>
        <v>55000</v>
      </c>
      <c r="J89" s="25">
        <f>9*D89/G89</f>
        <v>900000</v>
      </c>
      <c r="L89" s="25">
        <f>50000</f>
        <v>50000</v>
      </c>
      <c r="M89" s="25">
        <f t="shared" si="29"/>
        <v>1458750</v>
      </c>
      <c r="O89" s="24">
        <f t="shared" si="30"/>
        <v>29175</v>
      </c>
      <c r="Q89" s="24">
        <v>300000.0</v>
      </c>
      <c r="R89" s="25">
        <f t="shared" si="31"/>
        <v>1787925</v>
      </c>
    </row>
    <row r="90" ht="90.0" customHeight="1">
      <c r="A90" s="25"/>
      <c r="B90" s="24" t="s">
        <v>242</v>
      </c>
      <c r="D90" s="24">
        <v>1.0E7</v>
      </c>
      <c r="F90" s="24">
        <v>2800.0</v>
      </c>
      <c r="G90" s="24">
        <v>96.0</v>
      </c>
      <c r="H90" s="25">
        <f t="shared" ref="H90:H92" si="62">7*F90</f>
        <v>19600</v>
      </c>
      <c r="I90" s="25">
        <f t="shared" ref="I90:I94" si="63">2*F90</f>
        <v>5600</v>
      </c>
      <c r="J90" s="25">
        <f t="shared" ref="J90:J91" si="64">0.1*D90/G90</f>
        <v>10416.66667</v>
      </c>
      <c r="K90" s="24">
        <v>32500.0</v>
      </c>
      <c r="L90" s="24">
        <v>5000.0</v>
      </c>
      <c r="M90" s="25">
        <f t="shared" si="29"/>
        <v>40616.66667</v>
      </c>
      <c r="N90" s="25">
        <f t="shared" ref="N90:N96" si="65">H90+I90+K90+L90</f>
        <v>62700</v>
      </c>
      <c r="O90" s="24">
        <f t="shared" si="30"/>
        <v>812.3333333</v>
      </c>
      <c r="P90" s="24">
        <f t="shared" ref="P90:P96" si="66">2*N90/100</f>
        <v>1254</v>
      </c>
      <c r="Q90" s="24">
        <v>18000.0</v>
      </c>
      <c r="R90" s="25">
        <f t="shared" si="31"/>
        <v>59429</v>
      </c>
      <c r="S90" s="25">
        <f t="shared" ref="S90:S92" si="67">N90+P90+Q90</f>
        <v>81954</v>
      </c>
      <c r="T90" s="24" t="s">
        <v>243</v>
      </c>
    </row>
    <row r="91" ht="90.0" customHeight="1">
      <c r="A91" s="25"/>
      <c r="B91" s="24" t="s">
        <v>242</v>
      </c>
      <c r="D91" s="24">
        <v>1.0E7</v>
      </c>
      <c r="F91" s="24">
        <v>2800.0</v>
      </c>
      <c r="G91" s="24">
        <v>192.0</v>
      </c>
      <c r="H91" s="25">
        <f t="shared" si="62"/>
        <v>19600</v>
      </c>
      <c r="I91" s="25">
        <f t="shared" si="63"/>
        <v>5600</v>
      </c>
      <c r="J91" s="25">
        <f t="shared" si="64"/>
        <v>5208.333333</v>
      </c>
      <c r="K91" s="24">
        <v>32500.0</v>
      </c>
      <c r="L91" s="24">
        <v>5000.0</v>
      </c>
      <c r="M91" s="25">
        <f t="shared" si="29"/>
        <v>35408.33333</v>
      </c>
      <c r="N91" s="25">
        <f t="shared" si="65"/>
        <v>62700</v>
      </c>
      <c r="O91" s="24">
        <f t="shared" si="30"/>
        <v>708.1666667</v>
      </c>
      <c r="P91" s="24">
        <f t="shared" si="66"/>
        <v>1254</v>
      </c>
      <c r="Q91" s="24">
        <v>18000.0</v>
      </c>
      <c r="R91" s="25">
        <f t="shared" si="31"/>
        <v>54116.5</v>
      </c>
      <c r="S91" s="25">
        <f t="shared" si="67"/>
        <v>81954</v>
      </c>
      <c r="T91" s="24" t="s">
        <v>243</v>
      </c>
    </row>
    <row r="92" ht="90.0" customHeight="1">
      <c r="A92" s="25"/>
      <c r="B92" s="24" t="s">
        <v>242</v>
      </c>
      <c r="D92" s="24">
        <v>1.0E7</v>
      </c>
      <c r="F92" s="24">
        <v>2800.0</v>
      </c>
      <c r="G92" s="24">
        <v>288.0</v>
      </c>
      <c r="H92" s="25">
        <f t="shared" si="62"/>
        <v>19600</v>
      </c>
      <c r="I92" s="25">
        <f t="shared" si="63"/>
        <v>5600</v>
      </c>
      <c r="J92" s="25">
        <f t="shared" ref="J92:J94" si="68">0.15*D92/G92</f>
        <v>5208.333333</v>
      </c>
      <c r="K92" s="24">
        <v>32500.0</v>
      </c>
      <c r="L92" s="24">
        <v>5000.0</v>
      </c>
      <c r="M92" s="25">
        <f t="shared" si="29"/>
        <v>35408.33333</v>
      </c>
      <c r="N92" s="25">
        <f t="shared" si="65"/>
        <v>62700</v>
      </c>
      <c r="O92" s="24">
        <f t="shared" si="30"/>
        <v>708.1666667</v>
      </c>
      <c r="P92" s="24">
        <f t="shared" si="66"/>
        <v>1254</v>
      </c>
      <c r="Q92" s="24">
        <v>18000.0</v>
      </c>
      <c r="R92" s="25">
        <f t="shared" si="31"/>
        <v>54116.5</v>
      </c>
      <c r="S92" s="25">
        <f t="shared" si="67"/>
        <v>81954</v>
      </c>
      <c r="T92" s="24" t="s">
        <v>243</v>
      </c>
    </row>
    <row r="93" ht="90.0" customHeight="1">
      <c r="A93" s="25"/>
      <c r="B93" s="28" t="s">
        <v>244</v>
      </c>
      <c r="C93" s="29" t="s">
        <v>245</v>
      </c>
      <c r="G93" s="24">
        <v>100.0</v>
      </c>
      <c r="H93" s="24">
        <v>22000.0</v>
      </c>
      <c r="I93" s="25">
        <f t="shared" si="63"/>
        <v>0</v>
      </c>
      <c r="J93" s="25">
        <f t="shared" si="68"/>
        <v>0</v>
      </c>
      <c r="K93" s="24">
        <v>0.0</v>
      </c>
      <c r="L93" s="24">
        <v>5000.0</v>
      </c>
      <c r="M93" s="25">
        <f t="shared" si="29"/>
        <v>27000</v>
      </c>
      <c r="N93" s="25">
        <f t="shared" si="65"/>
        <v>27000</v>
      </c>
      <c r="O93" s="24">
        <f t="shared" si="30"/>
        <v>540</v>
      </c>
      <c r="P93" s="24">
        <f t="shared" si="66"/>
        <v>540</v>
      </c>
      <c r="Q93" s="24">
        <v>10000.0</v>
      </c>
      <c r="R93" s="25">
        <f t="shared" si="31"/>
        <v>37540</v>
      </c>
      <c r="T93" s="24" t="s">
        <v>246</v>
      </c>
    </row>
    <row r="94" ht="90.0" customHeight="1">
      <c r="A94" s="25"/>
      <c r="B94" s="28" t="s">
        <v>244</v>
      </c>
      <c r="C94" s="29" t="s">
        <v>245</v>
      </c>
      <c r="G94" s="24">
        <v>200.0</v>
      </c>
      <c r="H94" s="24">
        <v>22000.0</v>
      </c>
      <c r="I94" s="25">
        <f t="shared" si="63"/>
        <v>0</v>
      </c>
      <c r="J94" s="25">
        <f t="shared" si="68"/>
        <v>0</v>
      </c>
      <c r="K94" s="24">
        <v>0.0</v>
      </c>
      <c r="L94" s="24">
        <v>5000.0</v>
      </c>
      <c r="M94" s="25">
        <f t="shared" si="29"/>
        <v>27000</v>
      </c>
      <c r="N94" s="25">
        <f t="shared" si="65"/>
        <v>27000</v>
      </c>
      <c r="O94" s="24">
        <f t="shared" si="30"/>
        <v>540</v>
      </c>
      <c r="P94" s="24">
        <f t="shared" si="66"/>
        <v>540</v>
      </c>
      <c r="Q94" s="24">
        <v>8000.0</v>
      </c>
      <c r="R94" s="25">
        <f t="shared" si="31"/>
        <v>35540</v>
      </c>
      <c r="T94" s="24" t="s">
        <v>246</v>
      </c>
    </row>
    <row r="95" ht="90.0" customHeight="1">
      <c r="A95" s="25"/>
      <c r="B95" s="24" t="s">
        <v>247</v>
      </c>
      <c r="C95" s="29" t="s">
        <v>248</v>
      </c>
      <c r="G95" s="24">
        <v>100.0</v>
      </c>
      <c r="H95" s="24">
        <v>11000.0</v>
      </c>
      <c r="L95" s="24">
        <v>5000.0</v>
      </c>
      <c r="M95" s="25">
        <f t="shared" si="29"/>
        <v>16000</v>
      </c>
      <c r="N95" s="25">
        <f t="shared" si="65"/>
        <v>16000</v>
      </c>
      <c r="O95" s="24">
        <f t="shared" si="30"/>
        <v>320</v>
      </c>
      <c r="P95" s="24">
        <f t="shared" si="66"/>
        <v>320</v>
      </c>
      <c r="Q95" s="24">
        <v>5000.0</v>
      </c>
      <c r="R95" s="25">
        <f t="shared" si="31"/>
        <v>21320</v>
      </c>
      <c r="T95" s="24" t="s">
        <v>249</v>
      </c>
    </row>
    <row r="96" ht="90.0" customHeight="1">
      <c r="A96" s="25"/>
      <c r="B96" s="24" t="s">
        <v>247</v>
      </c>
      <c r="C96" s="29" t="s">
        <v>248</v>
      </c>
      <c r="G96" s="24">
        <v>100.0</v>
      </c>
      <c r="H96" s="24">
        <v>12000.0</v>
      </c>
      <c r="L96" s="24">
        <v>5000.0</v>
      </c>
      <c r="M96" s="25">
        <f t="shared" si="29"/>
        <v>17000</v>
      </c>
      <c r="N96" s="25">
        <f t="shared" si="65"/>
        <v>17000</v>
      </c>
      <c r="O96" s="24">
        <f t="shared" si="30"/>
        <v>340</v>
      </c>
      <c r="P96" s="24">
        <f t="shared" si="66"/>
        <v>340</v>
      </c>
      <c r="Q96" s="24">
        <v>5000.0</v>
      </c>
      <c r="R96" s="25">
        <f t="shared" si="31"/>
        <v>22340</v>
      </c>
      <c r="T96" s="24" t="s">
        <v>250</v>
      </c>
    </row>
    <row r="97" ht="90.0" customHeight="1">
      <c r="A97" s="25"/>
      <c r="B97" s="24" t="s">
        <v>251</v>
      </c>
      <c r="C97" s="24" t="s">
        <v>252</v>
      </c>
    </row>
    <row r="98" ht="90.0" customHeight="1">
      <c r="A98" s="25"/>
      <c r="B98" s="24" t="s">
        <v>253</v>
      </c>
      <c r="C98" s="24" t="s">
        <v>254</v>
      </c>
    </row>
    <row r="99" ht="90.0" customHeight="1"/>
    <row r="100" ht="90.0" customHeight="1"/>
    <row r="101" ht="90.0" customHeight="1"/>
    <row r="102" ht="90.0" customHeight="1"/>
    <row r="103" ht="90.0" customHeight="1"/>
    <row r="104" ht="90.0" customHeight="1"/>
    <row r="105" ht="90.0" customHeight="1"/>
    <row r="106" ht="90.0" customHeight="1"/>
    <row r="107" ht="90.0" customHeight="1"/>
    <row r="108" ht="90.0" customHeight="1"/>
    <row r="109" ht="90.0" customHeight="1"/>
    <row r="110" ht="90.0" customHeight="1"/>
    <row r="111" ht="90.0" customHeight="1"/>
    <row r="112" ht="90.0" customHeight="1"/>
    <row r="113" ht="90.0" customHeight="1"/>
    <row r="114" ht="90.0" customHeight="1"/>
    <row r="115" ht="90.0" customHeight="1"/>
    <row r="116" ht="90.0" customHeight="1"/>
    <row r="117" ht="90.0" customHeight="1"/>
    <row r="118" ht="90.0" customHeight="1"/>
    <row r="119" ht="90.0" customHeight="1"/>
    <row r="120" ht="90.0" customHeight="1"/>
    <row r="121" ht="90.0" customHeight="1"/>
    <row r="122" ht="90.0" customHeight="1"/>
    <row r="123" ht="90.0" customHeight="1"/>
    <row r="124" ht="90.0" customHeight="1"/>
    <row r="125" ht="90.0" customHeight="1"/>
    <row r="126" ht="90.0" customHeight="1"/>
    <row r="127" ht="90.0" customHeight="1"/>
    <row r="128" ht="90.0" customHeight="1"/>
    <row r="129" ht="90.0" customHeight="1"/>
    <row r="130" ht="90.0" customHeight="1"/>
    <row r="131" ht="90.0" customHeight="1"/>
    <row r="132" ht="90.0" customHeight="1"/>
    <row r="133" ht="90.0" customHeight="1"/>
    <row r="134" ht="90.0" customHeight="1"/>
    <row r="135" ht="90.0" customHeight="1"/>
    <row r="136" ht="90.0" customHeight="1"/>
    <row r="137" ht="90.0" customHeight="1"/>
    <row r="138" ht="90.0" customHeight="1"/>
    <row r="139" ht="90.0" customHeight="1"/>
    <row r="140" ht="90.0" customHeight="1"/>
    <row r="141" ht="90.0" customHeight="1"/>
    <row r="142" ht="90.0" customHeight="1"/>
    <row r="143" ht="90.0" customHeight="1"/>
    <row r="144" ht="90.0" customHeight="1"/>
    <row r="145" ht="90.0" customHeight="1"/>
    <row r="146" ht="90.0" customHeight="1"/>
    <row r="147" ht="90.0" customHeight="1"/>
    <row r="148" ht="90.0" customHeight="1"/>
    <row r="149" ht="90.0" customHeight="1"/>
    <row r="150" ht="90.0" customHeight="1"/>
    <row r="151" ht="90.0" customHeight="1"/>
    <row r="152" ht="90.0" customHeight="1"/>
    <row r="153" ht="90.0" customHeight="1"/>
    <row r="154" ht="90.0" customHeight="1"/>
    <row r="155" ht="90.0" customHeight="1"/>
    <row r="156" ht="90.0" customHeight="1"/>
    <row r="157" ht="90.0" customHeight="1"/>
    <row r="158" ht="90.0" customHeight="1"/>
    <row r="159" ht="90.0" customHeight="1"/>
    <row r="160" ht="90.0" customHeight="1"/>
    <row r="161" ht="90.0" customHeight="1"/>
    <row r="162" ht="90.0" customHeight="1"/>
    <row r="163" ht="90.0" customHeight="1"/>
    <row r="164" ht="90.0" customHeight="1"/>
    <row r="165" ht="90.0" customHeight="1"/>
    <row r="166" ht="90.0" customHeight="1"/>
    <row r="167" ht="90.0" customHeight="1"/>
    <row r="168" ht="90.0" customHeight="1"/>
    <row r="169" ht="90.0" customHeight="1"/>
    <row r="170" ht="90.0" customHeight="1"/>
    <row r="171" ht="90.0" customHeight="1"/>
    <row r="172" ht="90.0" customHeight="1"/>
    <row r="173" ht="90.0" customHeight="1"/>
    <row r="174" ht="90.0" customHeight="1"/>
    <row r="175" ht="90.0" customHeight="1"/>
    <row r="176" ht="90.0" customHeight="1"/>
    <row r="177" ht="90.0" customHeight="1"/>
    <row r="178" ht="90.0" customHeight="1"/>
    <row r="179" ht="90.0" customHeight="1"/>
    <row r="180" ht="90.0" customHeight="1"/>
    <row r="181" ht="90.0" customHeight="1"/>
    <row r="182" ht="90.0" customHeight="1"/>
    <row r="183" ht="90.0" customHeight="1"/>
    <row r="184" ht="90.0" customHeight="1"/>
    <row r="185" ht="90.0" customHeight="1"/>
    <row r="186" ht="90.0" customHeight="1"/>
    <row r="187" ht="90.0" customHeight="1"/>
    <row r="188" ht="90.0" customHeight="1"/>
    <row r="189" ht="90.0" customHeight="1"/>
    <row r="190" ht="90.0" customHeight="1"/>
    <row r="191" ht="90.0" customHeight="1"/>
    <row r="192" ht="90.0" customHeight="1"/>
    <row r="193" ht="90.0" customHeight="1"/>
    <row r="194" ht="90.0" customHeight="1"/>
    <row r="195" ht="90.0" customHeight="1"/>
    <row r="196" ht="90.0" customHeight="1"/>
    <row r="197" ht="90.0" customHeight="1"/>
    <row r="198" ht="90.0" customHeight="1"/>
    <row r="199" ht="90.0" customHeight="1"/>
    <row r="200" ht="90.0" customHeight="1"/>
    <row r="201" ht="90.0" customHeight="1"/>
    <row r="202" ht="90.0" customHeight="1"/>
    <row r="203" ht="90.0" customHeight="1"/>
    <row r="204" ht="90.0" customHeight="1"/>
    <row r="205" ht="90.0" customHeight="1"/>
    <row r="206" ht="90.0" customHeight="1"/>
    <row r="207" ht="90.0" customHeight="1"/>
    <row r="208" ht="90.0" customHeight="1"/>
    <row r="209" ht="90.0" customHeight="1"/>
    <row r="210" ht="90.0" customHeight="1"/>
    <row r="211" ht="90.0" customHeight="1"/>
    <row r="212" ht="90.0" customHeight="1"/>
    <row r="213" ht="90.0" customHeight="1"/>
    <row r="214" ht="90.0" customHeight="1"/>
    <row r="215" ht="90.0" customHeight="1"/>
    <row r="216" ht="90.0" customHeight="1"/>
    <row r="217" ht="90.0" customHeight="1"/>
    <row r="218" ht="90.0" customHeight="1"/>
    <row r="219" ht="90.0" customHeight="1"/>
    <row r="220" ht="90.0" customHeight="1"/>
    <row r="221" ht="90.0" customHeight="1"/>
    <row r="222" ht="90.0" customHeight="1"/>
    <row r="223" ht="90.0" customHeight="1"/>
    <row r="224" ht="90.0" customHeight="1"/>
    <row r="225" ht="90.0" customHeight="1"/>
    <row r="226" ht="90.0" customHeight="1"/>
    <row r="227" ht="90.0" customHeight="1"/>
    <row r="228" ht="90.0" customHeight="1"/>
    <row r="229" ht="90.0" customHeight="1"/>
    <row r="230" ht="90.0" customHeight="1"/>
    <row r="231" ht="90.0" customHeight="1"/>
    <row r="232" ht="90.0" customHeight="1"/>
    <row r="233" ht="90.0" customHeight="1"/>
    <row r="234" ht="90.0" customHeight="1"/>
    <row r="235" ht="90.0" customHeight="1"/>
    <row r="236" ht="90.0" customHeight="1"/>
    <row r="237" ht="90.0" customHeight="1"/>
    <row r="238" ht="90.0" customHeight="1"/>
    <row r="239" ht="90.0" customHeight="1"/>
    <row r="240" ht="90.0" customHeight="1"/>
    <row r="241" ht="90.0" customHeight="1"/>
    <row r="242" ht="90.0" customHeight="1"/>
    <row r="243" ht="90.0" customHeight="1"/>
    <row r="244" ht="90.0" customHeight="1"/>
    <row r="245" ht="90.0" customHeight="1"/>
    <row r="246" ht="90.0" customHeight="1"/>
    <row r="247" ht="90.0" customHeight="1"/>
    <row r="248" ht="90.0" customHeight="1"/>
    <row r="249" ht="90.0" customHeight="1"/>
    <row r="250" ht="90.0" customHeight="1"/>
    <row r="251" ht="90.0" customHeight="1"/>
    <row r="252" ht="90.0" customHeight="1"/>
    <row r="253" ht="90.0" customHeight="1"/>
    <row r="254" ht="90.0" customHeight="1"/>
    <row r="255" ht="90.0" customHeight="1"/>
    <row r="256" ht="90.0" customHeight="1"/>
    <row r="257" ht="90.0" customHeight="1"/>
    <row r="258" ht="90.0" customHeight="1"/>
    <row r="259" ht="90.0" customHeight="1"/>
    <row r="260" ht="90.0" customHeight="1"/>
    <row r="261" ht="90.0" customHeight="1"/>
    <row r="262" ht="90.0" customHeight="1"/>
    <row r="263" ht="90.0" customHeight="1"/>
    <row r="264" ht="90.0" customHeight="1"/>
    <row r="265" ht="90.0" customHeight="1"/>
    <row r="266" ht="90.0" customHeight="1"/>
    <row r="267" ht="90.0" customHeight="1"/>
    <row r="268" ht="90.0" customHeight="1"/>
    <row r="269" ht="90.0" customHeight="1"/>
    <row r="270" ht="90.0" customHeight="1"/>
    <row r="271" ht="90.0" customHeight="1"/>
    <row r="272" ht="90.0" customHeight="1"/>
    <row r="273" ht="90.0" customHeight="1"/>
    <row r="274" ht="90.0" customHeight="1"/>
    <row r="275" ht="90.0" customHeight="1"/>
    <row r="276" ht="90.0" customHeight="1"/>
    <row r="277" ht="90.0" customHeight="1"/>
    <row r="278" ht="90.0" customHeight="1"/>
    <row r="279" ht="90.0" customHeight="1"/>
    <row r="280" ht="90.0" customHeight="1"/>
    <row r="281" ht="90.0" customHeight="1"/>
    <row r="282" ht="90.0" customHeight="1"/>
    <row r="283" ht="90.0" customHeight="1"/>
    <row r="284" ht="90.0" customHeight="1"/>
    <row r="285" ht="90.0" customHeight="1"/>
    <row r="286" ht="90.0" customHeight="1"/>
    <row r="287" ht="90.0" customHeight="1"/>
    <row r="288" ht="90.0" customHeight="1"/>
    <row r="289" ht="90.0" customHeight="1"/>
    <row r="290" ht="90.0" customHeight="1"/>
    <row r="291" ht="90.0" customHeight="1"/>
    <row r="292" ht="90.0" customHeight="1"/>
    <row r="293" ht="90.0" customHeight="1"/>
    <row r="294" ht="90.0" customHeight="1"/>
    <row r="295" ht="90.0" customHeight="1"/>
    <row r="296" ht="90.0" customHeight="1"/>
    <row r="297" ht="90.0" customHeight="1"/>
    <row r="298" ht="90.0" customHeight="1"/>
    <row r="299" ht="90.0" customHeight="1"/>
    <row r="300" ht="90.0" customHeight="1"/>
    <row r="301" ht="90.0" customHeight="1"/>
    <row r="302" ht="90.0" customHeight="1"/>
    <row r="303" ht="90.0" customHeight="1"/>
    <row r="304" ht="90.0" customHeight="1"/>
    <row r="305" ht="90.0" customHeight="1"/>
    <row r="306" ht="90.0" customHeight="1"/>
    <row r="307" ht="90.0" customHeight="1"/>
    <row r="308" ht="90.0" customHeight="1"/>
    <row r="309" ht="90.0" customHeight="1"/>
    <row r="310" ht="90.0" customHeight="1"/>
    <row r="311" ht="90.0" customHeight="1"/>
    <row r="312" ht="90.0" customHeight="1"/>
    <row r="313" ht="90.0" customHeight="1"/>
    <row r="314" ht="90.0" customHeight="1"/>
    <row r="315" ht="90.0" customHeight="1"/>
    <row r="316" ht="90.0" customHeight="1"/>
    <row r="317" ht="90.0" customHeight="1"/>
    <row r="318" ht="90.0" customHeight="1"/>
    <row r="319" ht="90.0" customHeight="1"/>
    <row r="320" ht="90.0" customHeight="1"/>
    <row r="321" ht="90.0" customHeight="1"/>
    <row r="322" ht="90.0" customHeight="1"/>
    <row r="323" ht="90.0" customHeight="1"/>
    <row r="324" ht="90.0" customHeight="1"/>
    <row r="325" ht="90.0" customHeight="1"/>
    <row r="326" ht="90.0" customHeight="1"/>
    <row r="327" ht="90.0" customHeight="1"/>
    <row r="328" ht="90.0" customHeight="1"/>
    <row r="329" ht="90.0" customHeight="1"/>
    <row r="330" ht="90.0" customHeight="1"/>
    <row r="331" ht="90.0" customHeight="1"/>
    <row r="332" ht="90.0" customHeight="1"/>
    <row r="333" ht="90.0" customHeight="1"/>
    <row r="334" ht="90.0" customHeight="1"/>
    <row r="335" ht="90.0" customHeight="1"/>
    <row r="336" ht="90.0" customHeight="1"/>
    <row r="337" ht="90.0" customHeight="1"/>
    <row r="338" ht="90.0" customHeight="1"/>
    <row r="339" ht="90.0" customHeight="1"/>
    <row r="340" ht="90.0" customHeight="1"/>
    <row r="341" ht="90.0" customHeight="1"/>
    <row r="342" ht="90.0" customHeight="1"/>
    <row r="343" ht="90.0" customHeight="1"/>
    <row r="344" ht="90.0" customHeight="1"/>
    <row r="345" ht="90.0" customHeight="1"/>
    <row r="346" ht="90.0" customHeight="1"/>
    <row r="347" ht="90.0" customHeight="1"/>
    <row r="348" ht="90.0" customHeight="1"/>
    <row r="349" ht="90.0" customHeight="1"/>
    <row r="350" ht="90.0" customHeight="1"/>
    <row r="351" ht="90.0" customHeight="1"/>
    <row r="352" ht="90.0" customHeight="1"/>
    <row r="353" ht="90.0" customHeight="1"/>
    <row r="354" ht="90.0" customHeight="1"/>
    <row r="355" ht="90.0" customHeight="1"/>
    <row r="356" ht="90.0" customHeight="1"/>
    <row r="357" ht="90.0" customHeight="1"/>
    <row r="358" ht="90.0" customHeight="1"/>
    <row r="359" ht="90.0" customHeight="1"/>
    <row r="360" ht="90.0" customHeight="1"/>
    <row r="361" ht="90.0" customHeight="1"/>
    <row r="362" ht="90.0" customHeight="1"/>
    <row r="363" ht="90.0" customHeight="1"/>
    <row r="364" ht="90.0" customHeight="1"/>
    <row r="365" ht="90.0" customHeight="1"/>
    <row r="366" ht="90.0" customHeight="1"/>
    <row r="367" ht="90.0" customHeight="1"/>
    <row r="368" ht="90.0" customHeight="1"/>
    <row r="369" ht="90.0" customHeight="1"/>
    <row r="370" ht="90.0" customHeight="1"/>
    <row r="371" ht="90.0" customHeight="1"/>
    <row r="372" ht="90.0" customHeight="1"/>
    <row r="373" ht="90.0" customHeight="1"/>
    <row r="374" ht="90.0" customHeight="1"/>
    <row r="375" ht="90.0" customHeight="1"/>
    <row r="376" ht="90.0" customHeight="1"/>
    <row r="377" ht="90.0" customHeight="1"/>
    <row r="378" ht="90.0" customHeight="1"/>
    <row r="379" ht="90.0" customHeight="1"/>
    <row r="380" ht="90.0" customHeight="1"/>
    <row r="381" ht="90.0" customHeight="1"/>
    <row r="382" ht="90.0" customHeight="1"/>
    <row r="383" ht="90.0" customHeight="1"/>
    <row r="384" ht="90.0" customHeight="1"/>
    <row r="385" ht="90.0" customHeight="1"/>
    <row r="386" ht="90.0" customHeight="1"/>
    <row r="387" ht="90.0" customHeight="1"/>
    <row r="388" ht="90.0" customHeight="1"/>
    <row r="389" ht="90.0" customHeight="1"/>
    <row r="390" ht="90.0" customHeight="1"/>
    <row r="391" ht="90.0" customHeight="1"/>
    <row r="392" ht="90.0" customHeight="1"/>
    <row r="393" ht="90.0" customHeight="1"/>
    <row r="394" ht="90.0" customHeight="1"/>
    <row r="395" ht="90.0" customHeight="1"/>
    <row r="396" ht="90.0" customHeight="1"/>
    <row r="397" ht="90.0" customHeight="1"/>
    <row r="398" ht="90.0" customHeight="1"/>
    <row r="399" ht="90.0" customHeight="1"/>
    <row r="400" ht="90.0" customHeight="1"/>
    <row r="401" ht="90.0" customHeight="1"/>
    <row r="402" ht="90.0" customHeight="1"/>
    <row r="403" ht="90.0" customHeight="1"/>
    <row r="404" ht="90.0" customHeight="1"/>
    <row r="405" ht="90.0" customHeight="1"/>
    <row r="406" ht="90.0" customHeight="1"/>
    <row r="407" ht="90.0" customHeight="1"/>
    <row r="408" ht="90.0" customHeight="1"/>
    <row r="409" ht="90.0" customHeight="1"/>
    <row r="410" ht="90.0" customHeight="1"/>
    <row r="411" ht="90.0" customHeight="1"/>
    <row r="412" ht="90.0" customHeight="1"/>
    <row r="413" ht="90.0" customHeight="1"/>
    <row r="414" ht="90.0" customHeight="1"/>
    <row r="415" ht="90.0" customHeight="1"/>
    <row r="416" ht="90.0" customHeight="1"/>
    <row r="417" ht="90.0" customHeight="1"/>
    <row r="418" ht="90.0" customHeight="1"/>
    <row r="419" ht="90.0" customHeight="1"/>
    <row r="420" ht="90.0" customHeight="1"/>
    <row r="421" ht="90.0" customHeight="1"/>
    <row r="422" ht="90.0" customHeight="1"/>
    <row r="423" ht="90.0" customHeight="1"/>
    <row r="424" ht="90.0" customHeight="1"/>
    <row r="425" ht="90.0" customHeight="1"/>
    <row r="426" ht="90.0" customHeight="1"/>
    <row r="427" ht="90.0" customHeight="1"/>
    <row r="428" ht="90.0" customHeight="1"/>
    <row r="429" ht="90.0" customHeight="1"/>
    <row r="430" ht="90.0" customHeight="1"/>
    <row r="431" ht="90.0" customHeight="1"/>
    <row r="432" ht="90.0" customHeight="1"/>
    <row r="433" ht="90.0" customHeight="1"/>
    <row r="434" ht="90.0" customHeight="1"/>
    <row r="435" ht="90.0" customHeight="1"/>
    <row r="436" ht="90.0" customHeight="1"/>
    <row r="437" ht="90.0" customHeight="1"/>
    <row r="438" ht="90.0" customHeight="1"/>
    <row r="439" ht="90.0" customHeight="1"/>
    <row r="440" ht="90.0" customHeight="1"/>
    <row r="441" ht="90.0" customHeight="1"/>
    <row r="442" ht="90.0" customHeight="1"/>
    <row r="443" ht="90.0" customHeight="1"/>
    <row r="444" ht="90.0" customHeight="1"/>
    <row r="445" ht="90.0" customHeight="1"/>
    <row r="446" ht="90.0" customHeight="1"/>
    <row r="447" ht="90.0" customHeight="1"/>
    <row r="448" ht="90.0" customHeight="1"/>
    <row r="449" ht="90.0" customHeight="1"/>
    <row r="450" ht="90.0" customHeight="1"/>
    <row r="451" ht="90.0" customHeight="1"/>
    <row r="452" ht="90.0" customHeight="1"/>
    <row r="453" ht="90.0" customHeight="1"/>
    <row r="454" ht="90.0" customHeight="1"/>
    <row r="455" ht="90.0" customHeight="1"/>
    <row r="456" ht="90.0" customHeight="1"/>
    <row r="457" ht="90.0" customHeight="1"/>
    <row r="458" ht="90.0" customHeight="1"/>
    <row r="459" ht="90.0" customHeight="1"/>
    <row r="460" ht="90.0" customHeight="1"/>
    <row r="461" ht="90.0" customHeight="1"/>
    <row r="462" ht="90.0" customHeight="1"/>
    <row r="463" ht="90.0" customHeight="1"/>
    <row r="464" ht="90.0" customHeight="1"/>
    <row r="465" ht="90.0" customHeight="1"/>
    <row r="466" ht="90.0" customHeight="1"/>
    <row r="467" ht="90.0" customHeight="1"/>
    <row r="468" ht="90.0" customHeight="1"/>
    <row r="469" ht="90.0" customHeight="1"/>
    <row r="470" ht="90.0" customHeight="1"/>
    <row r="471" ht="90.0" customHeight="1"/>
    <row r="472" ht="90.0" customHeight="1"/>
    <row r="473" ht="90.0" customHeight="1"/>
    <row r="474" ht="90.0" customHeight="1"/>
    <row r="475" ht="90.0" customHeight="1"/>
    <row r="476" ht="90.0" customHeight="1"/>
    <row r="477" ht="90.0" customHeight="1"/>
    <row r="478" ht="90.0" customHeight="1"/>
    <row r="479" ht="90.0" customHeight="1"/>
    <row r="480" ht="90.0" customHeight="1"/>
    <row r="481" ht="90.0" customHeight="1"/>
    <row r="482" ht="90.0" customHeight="1"/>
    <row r="483" ht="90.0" customHeight="1"/>
    <row r="484" ht="90.0" customHeight="1"/>
    <row r="485" ht="90.0" customHeight="1"/>
    <row r="486" ht="90.0" customHeight="1"/>
    <row r="487" ht="90.0" customHeight="1"/>
    <row r="488" ht="90.0" customHeight="1"/>
    <row r="489" ht="90.0" customHeight="1"/>
    <row r="490" ht="90.0" customHeight="1"/>
    <row r="491" ht="90.0" customHeight="1"/>
    <row r="492" ht="90.0" customHeight="1"/>
    <row r="493" ht="90.0" customHeight="1"/>
    <row r="494" ht="90.0" customHeight="1"/>
    <row r="495" ht="90.0" customHeight="1"/>
    <row r="496" ht="90.0" customHeight="1"/>
    <row r="497" ht="90.0" customHeight="1"/>
    <row r="498" ht="90.0" customHeight="1"/>
    <row r="499" ht="90.0" customHeight="1"/>
    <row r="500" ht="90.0" customHeight="1"/>
    <row r="501" ht="90.0" customHeight="1"/>
    <row r="502" ht="90.0" customHeight="1"/>
    <row r="503" ht="90.0" customHeight="1"/>
    <row r="504" ht="90.0" customHeight="1"/>
    <row r="505" ht="90.0" customHeight="1"/>
    <row r="506" ht="90.0" customHeight="1"/>
    <row r="507" ht="90.0" customHeight="1"/>
    <row r="508" ht="90.0" customHeight="1"/>
    <row r="509" ht="90.0" customHeight="1"/>
    <row r="510" ht="90.0" customHeight="1"/>
    <row r="511" ht="90.0" customHeight="1"/>
    <row r="512" ht="90.0" customHeight="1"/>
    <row r="513" ht="90.0" customHeight="1"/>
    <row r="514" ht="90.0" customHeight="1"/>
    <row r="515" ht="90.0" customHeight="1"/>
    <row r="516" ht="90.0" customHeight="1"/>
    <row r="517" ht="90.0" customHeight="1"/>
    <row r="518" ht="90.0" customHeight="1"/>
    <row r="519" ht="90.0" customHeight="1"/>
    <row r="520" ht="90.0" customHeight="1"/>
    <row r="521" ht="90.0" customHeight="1"/>
    <row r="522" ht="90.0" customHeight="1"/>
    <row r="523" ht="90.0" customHeight="1"/>
    <row r="524" ht="90.0" customHeight="1"/>
    <row r="525" ht="90.0" customHeight="1"/>
    <row r="526" ht="90.0" customHeight="1"/>
    <row r="527" ht="90.0" customHeight="1"/>
    <row r="528" ht="90.0" customHeight="1"/>
    <row r="529" ht="90.0" customHeight="1"/>
    <row r="530" ht="90.0" customHeight="1"/>
    <row r="531" ht="90.0" customHeight="1"/>
    <row r="532" ht="90.0" customHeight="1"/>
    <row r="533" ht="90.0" customHeight="1"/>
    <row r="534" ht="90.0" customHeight="1"/>
    <row r="535" ht="90.0" customHeight="1"/>
    <row r="536" ht="90.0" customHeight="1"/>
    <row r="537" ht="90.0" customHeight="1"/>
    <row r="538" ht="90.0" customHeight="1"/>
    <row r="539" ht="90.0" customHeight="1"/>
    <row r="540" ht="90.0" customHeight="1"/>
    <row r="541" ht="90.0" customHeight="1"/>
    <row r="542" ht="90.0" customHeight="1"/>
    <row r="543" ht="90.0" customHeight="1"/>
    <row r="544" ht="90.0" customHeight="1"/>
    <row r="545" ht="90.0" customHeight="1"/>
    <row r="546" ht="90.0" customHeight="1"/>
    <row r="547" ht="90.0" customHeight="1"/>
    <row r="548" ht="90.0" customHeight="1"/>
    <row r="549" ht="90.0" customHeight="1"/>
    <row r="550" ht="90.0" customHeight="1"/>
    <row r="551" ht="90.0" customHeight="1"/>
    <row r="552" ht="90.0" customHeight="1"/>
    <row r="553" ht="90.0" customHeight="1"/>
    <row r="554" ht="90.0" customHeight="1"/>
    <row r="555" ht="90.0" customHeight="1"/>
    <row r="556" ht="90.0" customHeight="1"/>
    <row r="557" ht="90.0" customHeight="1"/>
    <row r="558" ht="90.0" customHeight="1"/>
    <row r="559" ht="90.0" customHeight="1"/>
    <row r="560" ht="90.0" customHeight="1"/>
    <row r="561" ht="90.0" customHeight="1"/>
    <row r="562" ht="90.0" customHeight="1"/>
    <row r="563" ht="90.0" customHeight="1"/>
    <row r="564" ht="90.0" customHeight="1"/>
    <row r="565" ht="90.0" customHeight="1"/>
    <row r="566" ht="90.0" customHeight="1"/>
    <row r="567" ht="90.0" customHeight="1"/>
    <row r="568" ht="90.0" customHeight="1"/>
    <row r="569" ht="90.0" customHeight="1"/>
    <row r="570" ht="90.0" customHeight="1"/>
    <row r="571" ht="90.0" customHeight="1"/>
    <row r="572" ht="90.0" customHeight="1"/>
    <row r="573" ht="90.0" customHeight="1"/>
    <row r="574" ht="90.0" customHeight="1"/>
    <row r="575" ht="90.0" customHeight="1"/>
    <row r="576" ht="90.0" customHeight="1"/>
    <row r="577" ht="90.0" customHeight="1"/>
    <row r="578" ht="90.0" customHeight="1"/>
    <row r="579" ht="90.0" customHeight="1"/>
    <row r="580" ht="90.0" customHeight="1"/>
    <row r="581" ht="90.0" customHeight="1"/>
    <row r="582" ht="90.0" customHeight="1"/>
    <row r="583" ht="90.0" customHeight="1"/>
    <row r="584" ht="90.0" customHeight="1"/>
    <row r="585" ht="90.0" customHeight="1"/>
    <row r="586" ht="90.0" customHeight="1"/>
    <row r="587" ht="90.0" customHeight="1"/>
    <row r="588" ht="90.0" customHeight="1"/>
    <row r="589" ht="90.0" customHeight="1"/>
    <row r="590" ht="90.0" customHeight="1"/>
    <row r="591" ht="90.0" customHeight="1"/>
    <row r="592" ht="90.0" customHeight="1"/>
    <row r="593" ht="90.0" customHeight="1"/>
    <row r="594" ht="90.0" customHeight="1"/>
    <row r="595" ht="90.0" customHeight="1"/>
    <row r="596" ht="90.0" customHeight="1"/>
    <row r="597" ht="90.0" customHeight="1"/>
    <row r="598" ht="90.0" customHeight="1"/>
    <row r="599" ht="90.0" customHeight="1"/>
    <row r="600" ht="90.0" customHeight="1"/>
    <row r="601" ht="90.0" customHeight="1"/>
    <row r="602" ht="90.0" customHeight="1"/>
    <row r="603" ht="90.0" customHeight="1"/>
    <row r="604" ht="90.0" customHeight="1"/>
    <row r="605" ht="90.0" customHeight="1"/>
    <row r="606" ht="90.0" customHeight="1"/>
    <row r="607" ht="90.0" customHeight="1"/>
    <row r="608" ht="90.0" customHeight="1"/>
    <row r="609" ht="90.0" customHeight="1"/>
    <row r="610" ht="90.0" customHeight="1"/>
    <row r="611" ht="90.0" customHeight="1"/>
    <row r="612" ht="90.0" customHeight="1"/>
    <row r="613" ht="90.0" customHeight="1"/>
    <row r="614" ht="90.0" customHeight="1"/>
    <row r="615" ht="90.0" customHeight="1"/>
    <row r="616" ht="90.0" customHeight="1"/>
    <row r="617" ht="90.0" customHeight="1"/>
    <row r="618" ht="90.0" customHeight="1"/>
    <row r="619" ht="90.0" customHeight="1"/>
    <row r="620" ht="90.0" customHeight="1"/>
    <row r="621" ht="90.0" customHeight="1"/>
    <row r="622" ht="90.0" customHeight="1"/>
    <row r="623" ht="90.0" customHeight="1"/>
    <row r="624" ht="90.0" customHeight="1"/>
    <row r="625" ht="90.0" customHeight="1"/>
    <row r="626" ht="90.0" customHeight="1"/>
    <row r="627" ht="90.0" customHeight="1"/>
    <row r="628" ht="90.0" customHeight="1"/>
    <row r="629" ht="90.0" customHeight="1"/>
    <row r="630" ht="90.0" customHeight="1"/>
    <row r="631" ht="90.0" customHeight="1"/>
    <row r="632" ht="90.0" customHeight="1"/>
    <row r="633" ht="90.0" customHeight="1"/>
    <row r="634" ht="90.0" customHeight="1"/>
    <row r="635" ht="90.0" customHeight="1"/>
    <row r="636" ht="90.0" customHeight="1"/>
    <row r="637" ht="90.0" customHeight="1"/>
    <row r="638" ht="90.0" customHeight="1"/>
    <row r="639" ht="90.0" customHeight="1"/>
    <row r="640" ht="90.0" customHeight="1"/>
    <row r="641" ht="90.0" customHeight="1"/>
    <row r="642" ht="90.0" customHeight="1"/>
    <row r="643" ht="90.0" customHeight="1"/>
    <row r="644" ht="90.0" customHeight="1"/>
    <row r="645" ht="90.0" customHeight="1"/>
    <row r="646" ht="90.0" customHeight="1"/>
    <row r="647" ht="90.0" customHeight="1"/>
    <row r="648" ht="90.0" customHeight="1"/>
    <row r="649" ht="90.0" customHeight="1"/>
    <row r="650" ht="90.0" customHeight="1"/>
    <row r="651" ht="90.0" customHeight="1"/>
    <row r="652" ht="90.0" customHeight="1"/>
    <row r="653" ht="90.0" customHeight="1"/>
    <row r="654" ht="90.0" customHeight="1"/>
    <row r="655" ht="90.0" customHeight="1"/>
    <row r="656" ht="90.0" customHeight="1"/>
    <row r="657" ht="90.0" customHeight="1"/>
    <row r="658" ht="90.0" customHeight="1"/>
    <row r="659" ht="90.0" customHeight="1"/>
    <row r="660" ht="90.0" customHeight="1"/>
    <row r="661" ht="90.0" customHeight="1"/>
    <row r="662" ht="90.0" customHeight="1"/>
    <row r="663" ht="90.0" customHeight="1"/>
    <row r="664" ht="90.0" customHeight="1"/>
    <row r="665" ht="90.0" customHeight="1"/>
    <row r="666" ht="90.0" customHeight="1"/>
    <row r="667" ht="90.0" customHeight="1"/>
    <row r="668" ht="90.0" customHeight="1"/>
    <row r="669" ht="90.0" customHeight="1"/>
    <row r="670" ht="90.0" customHeight="1"/>
    <row r="671" ht="90.0" customHeight="1"/>
    <row r="672" ht="90.0" customHeight="1"/>
    <row r="673" ht="90.0" customHeight="1"/>
    <row r="674" ht="90.0" customHeight="1"/>
    <row r="675" ht="90.0" customHeight="1"/>
    <row r="676" ht="90.0" customHeight="1"/>
    <row r="677" ht="90.0" customHeight="1"/>
    <row r="678" ht="90.0" customHeight="1"/>
    <row r="679" ht="90.0" customHeight="1"/>
    <row r="680" ht="90.0" customHeight="1"/>
    <row r="681" ht="90.0" customHeight="1"/>
    <row r="682" ht="90.0" customHeight="1"/>
    <row r="683" ht="90.0" customHeight="1"/>
    <row r="684" ht="90.0" customHeight="1"/>
    <row r="685" ht="90.0" customHeight="1"/>
    <row r="686" ht="90.0" customHeight="1"/>
    <row r="687" ht="90.0" customHeight="1"/>
    <row r="688" ht="90.0" customHeight="1"/>
    <row r="689" ht="90.0" customHeight="1"/>
    <row r="690" ht="90.0" customHeight="1"/>
    <row r="691" ht="90.0" customHeight="1"/>
    <row r="692" ht="90.0" customHeight="1"/>
    <row r="693" ht="90.0" customHeight="1"/>
    <row r="694" ht="90.0" customHeight="1"/>
    <row r="695" ht="90.0" customHeight="1"/>
    <row r="696" ht="90.0" customHeight="1"/>
    <row r="697" ht="90.0" customHeight="1"/>
    <row r="698" ht="90.0" customHeight="1"/>
    <row r="699" ht="90.0" customHeight="1"/>
    <row r="700" ht="90.0" customHeight="1"/>
    <row r="701" ht="90.0" customHeight="1"/>
    <row r="702" ht="90.0" customHeight="1"/>
    <row r="703" ht="90.0" customHeight="1"/>
    <row r="704" ht="90.0" customHeight="1"/>
    <row r="705" ht="90.0" customHeight="1"/>
    <row r="706" ht="90.0" customHeight="1"/>
    <row r="707" ht="90.0" customHeight="1"/>
    <row r="708" ht="90.0" customHeight="1"/>
    <row r="709" ht="90.0" customHeight="1"/>
    <row r="710" ht="90.0" customHeight="1"/>
    <row r="711" ht="90.0" customHeight="1"/>
    <row r="712" ht="90.0" customHeight="1"/>
    <row r="713" ht="90.0" customHeight="1"/>
    <row r="714" ht="90.0" customHeight="1"/>
    <row r="715" ht="90.0" customHeight="1"/>
    <row r="716" ht="90.0" customHeight="1"/>
    <row r="717" ht="90.0" customHeight="1"/>
    <row r="718" ht="90.0" customHeight="1"/>
    <row r="719" ht="90.0" customHeight="1"/>
    <row r="720" ht="90.0" customHeight="1"/>
    <row r="721" ht="90.0" customHeight="1"/>
    <row r="722" ht="90.0" customHeight="1"/>
    <row r="723" ht="90.0" customHeight="1"/>
    <row r="724" ht="90.0" customHeight="1"/>
    <row r="725" ht="90.0" customHeight="1"/>
    <row r="726" ht="90.0" customHeight="1"/>
    <row r="727" ht="90.0" customHeight="1"/>
    <row r="728" ht="90.0" customHeight="1"/>
    <row r="729" ht="90.0" customHeight="1"/>
    <row r="730" ht="90.0" customHeight="1"/>
    <row r="731" ht="90.0" customHeight="1"/>
    <row r="732" ht="90.0" customHeight="1"/>
    <row r="733" ht="90.0" customHeight="1"/>
    <row r="734" ht="90.0" customHeight="1"/>
    <row r="735" ht="90.0" customHeight="1"/>
    <row r="736" ht="90.0" customHeight="1"/>
    <row r="737" ht="90.0" customHeight="1"/>
    <row r="738" ht="90.0" customHeight="1"/>
    <row r="739" ht="90.0" customHeight="1"/>
    <row r="740" ht="90.0" customHeight="1"/>
    <row r="741" ht="90.0" customHeight="1"/>
    <row r="742" ht="90.0" customHeight="1"/>
    <row r="743" ht="90.0" customHeight="1"/>
    <row r="744" ht="90.0" customHeight="1"/>
    <row r="745" ht="90.0" customHeight="1"/>
    <row r="746" ht="90.0" customHeight="1"/>
    <row r="747" ht="90.0" customHeight="1"/>
    <row r="748" ht="90.0" customHeight="1"/>
    <row r="749" ht="90.0" customHeight="1"/>
    <row r="750" ht="90.0" customHeight="1"/>
    <row r="751" ht="90.0" customHeight="1"/>
    <row r="752" ht="90.0" customHeight="1"/>
    <row r="753" ht="90.0" customHeight="1"/>
    <row r="754" ht="90.0" customHeight="1"/>
    <row r="755" ht="90.0" customHeight="1"/>
    <row r="756" ht="90.0" customHeight="1"/>
    <row r="757" ht="90.0" customHeight="1"/>
    <row r="758" ht="90.0" customHeight="1"/>
    <row r="759" ht="90.0" customHeight="1"/>
    <row r="760" ht="90.0" customHeight="1"/>
    <row r="761" ht="90.0" customHeight="1"/>
    <row r="762" ht="90.0" customHeight="1"/>
    <row r="763" ht="90.0" customHeight="1"/>
    <row r="764" ht="90.0" customHeight="1"/>
    <row r="765" ht="90.0" customHeight="1"/>
    <row r="766" ht="90.0" customHeight="1"/>
    <row r="767" ht="90.0" customHeight="1"/>
    <row r="768" ht="90.0" customHeight="1"/>
    <row r="769" ht="90.0" customHeight="1"/>
    <row r="770" ht="90.0" customHeight="1"/>
    <row r="771" ht="90.0" customHeight="1"/>
    <row r="772" ht="90.0" customHeight="1"/>
    <row r="773" ht="90.0" customHeight="1"/>
    <row r="774" ht="90.0" customHeight="1"/>
    <row r="775" ht="90.0" customHeight="1"/>
    <row r="776" ht="90.0" customHeight="1"/>
    <row r="777" ht="90.0" customHeight="1"/>
    <row r="778" ht="90.0" customHeight="1"/>
    <row r="779" ht="90.0" customHeight="1"/>
    <row r="780" ht="90.0" customHeight="1"/>
    <row r="781" ht="90.0" customHeight="1"/>
    <row r="782" ht="90.0" customHeight="1"/>
    <row r="783" ht="90.0" customHeight="1"/>
    <row r="784" ht="90.0" customHeight="1"/>
    <row r="785" ht="90.0" customHeight="1"/>
    <row r="786" ht="90.0" customHeight="1"/>
    <row r="787" ht="90.0" customHeight="1"/>
    <row r="788" ht="90.0" customHeight="1"/>
    <row r="789" ht="90.0" customHeight="1"/>
    <row r="790" ht="90.0" customHeight="1"/>
    <row r="791" ht="90.0" customHeight="1"/>
    <row r="792" ht="90.0" customHeight="1"/>
    <row r="793" ht="90.0" customHeight="1"/>
    <row r="794" ht="90.0" customHeight="1"/>
    <row r="795" ht="90.0" customHeight="1"/>
    <row r="796" ht="90.0" customHeight="1"/>
    <row r="797" ht="90.0" customHeight="1"/>
    <row r="798" ht="90.0" customHeight="1"/>
    <row r="799" ht="90.0" customHeight="1"/>
    <row r="800" ht="90.0" customHeight="1"/>
    <row r="801" ht="90.0" customHeight="1"/>
    <row r="802" ht="90.0" customHeight="1"/>
    <row r="803" ht="90.0" customHeight="1"/>
    <row r="804" ht="90.0" customHeight="1"/>
    <row r="805" ht="90.0" customHeight="1"/>
    <row r="806" ht="90.0" customHeight="1"/>
    <row r="807" ht="90.0" customHeight="1"/>
    <row r="808" ht="90.0" customHeight="1"/>
    <row r="809" ht="90.0" customHeight="1"/>
    <row r="810" ht="90.0" customHeight="1"/>
    <row r="811" ht="90.0" customHeight="1"/>
    <row r="812" ht="90.0" customHeight="1"/>
    <row r="813" ht="90.0" customHeight="1"/>
    <row r="814" ht="90.0" customHeight="1"/>
    <row r="815" ht="90.0" customHeight="1"/>
    <row r="816" ht="90.0" customHeight="1"/>
    <row r="817" ht="90.0" customHeight="1"/>
    <row r="818" ht="90.0" customHeight="1"/>
    <row r="819" ht="90.0" customHeight="1"/>
    <row r="820" ht="90.0" customHeight="1"/>
    <row r="821" ht="90.0" customHeight="1"/>
    <row r="822" ht="90.0" customHeight="1"/>
    <row r="823" ht="90.0" customHeight="1"/>
    <row r="824" ht="90.0" customHeight="1"/>
    <row r="825" ht="90.0" customHeight="1"/>
    <row r="826" ht="90.0" customHeight="1"/>
    <row r="827" ht="90.0" customHeight="1"/>
    <row r="828" ht="90.0" customHeight="1"/>
    <row r="829" ht="90.0" customHeight="1"/>
    <row r="830" ht="90.0" customHeight="1"/>
    <row r="831" ht="90.0" customHeight="1"/>
    <row r="832" ht="90.0" customHeight="1"/>
    <row r="833" ht="90.0" customHeight="1"/>
    <row r="834" ht="90.0" customHeight="1"/>
    <row r="835" ht="90.0" customHeight="1"/>
    <row r="836" ht="90.0" customHeight="1"/>
    <row r="837" ht="90.0" customHeight="1"/>
    <row r="838" ht="90.0" customHeight="1"/>
    <row r="839" ht="90.0" customHeight="1"/>
    <row r="840" ht="90.0" customHeight="1"/>
    <row r="841" ht="90.0" customHeight="1"/>
    <row r="842" ht="90.0" customHeight="1"/>
    <row r="843" ht="90.0" customHeight="1"/>
    <row r="844" ht="90.0" customHeight="1"/>
    <row r="845" ht="90.0" customHeight="1"/>
    <row r="846" ht="90.0" customHeight="1"/>
    <row r="847" ht="90.0" customHeight="1"/>
    <row r="848" ht="90.0" customHeight="1"/>
    <row r="849" ht="90.0" customHeight="1"/>
    <row r="850" ht="90.0" customHeight="1"/>
    <row r="851" ht="90.0" customHeight="1"/>
    <row r="852" ht="90.0" customHeight="1"/>
    <row r="853" ht="90.0" customHeight="1"/>
    <row r="854" ht="90.0" customHeight="1"/>
    <row r="855" ht="90.0" customHeight="1"/>
    <row r="856" ht="90.0" customHeight="1"/>
    <row r="857" ht="90.0" customHeight="1"/>
    <row r="858" ht="90.0" customHeight="1"/>
    <row r="859" ht="90.0" customHeight="1"/>
    <row r="860" ht="90.0" customHeight="1"/>
    <row r="861" ht="90.0" customHeight="1"/>
    <row r="862" ht="90.0" customHeight="1"/>
    <row r="863" ht="90.0" customHeight="1"/>
    <row r="864" ht="90.0" customHeight="1"/>
    <row r="865" ht="90.0" customHeight="1"/>
    <row r="866" ht="90.0" customHeight="1"/>
    <row r="867" ht="90.0" customHeight="1"/>
    <row r="868" ht="90.0" customHeight="1"/>
    <row r="869" ht="90.0" customHeight="1"/>
    <row r="870" ht="90.0" customHeight="1"/>
    <row r="871" ht="90.0" customHeight="1"/>
    <row r="872" ht="90.0" customHeight="1"/>
    <row r="873" ht="90.0" customHeight="1"/>
    <row r="874" ht="90.0" customHeight="1"/>
    <row r="875" ht="90.0" customHeight="1"/>
    <row r="876" ht="90.0" customHeight="1"/>
    <row r="877" ht="90.0" customHeight="1"/>
    <row r="878" ht="90.0" customHeight="1"/>
    <row r="879" ht="90.0" customHeight="1"/>
    <row r="880" ht="90.0" customHeight="1"/>
    <row r="881" ht="90.0" customHeight="1"/>
    <row r="882" ht="90.0" customHeight="1"/>
    <row r="883" ht="90.0" customHeight="1"/>
    <row r="884" ht="90.0" customHeight="1"/>
    <row r="885" ht="90.0" customHeight="1"/>
    <row r="886" ht="90.0" customHeight="1"/>
    <row r="887" ht="90.0" customHeight="1"/>
    <row r="888" ht="90.0" customHeight="1"/>
    <row r="889" ht="90.0" customHeight="1"/>
    <row r="890" ht="90.0" customHeight="1"/>
    <row r="891" ht="90.0" customHeight="1"/>
    <row r="892" ht="90.0" customHeight="1"/>
    <row r="893" ht="90.0" customHeight="1"/>
    <row r="894" ht="90.0" customHeight="1"/>
    <row r="895" ht="90.0" customHeight="1"/>
    <row r="896" ht="90.0" customHeight="1"/>
    <row r="897" ht="90.0" customHeight="1"/>
    <row r="898" ht="90.0" customHeight="1"/>
    <row r="899" ht="90.0" customHeight="1"/>
    <row r="900" ht="90.0" customHeight="1"/>
    <row r="901" ht="90.0" customHeight="1"/>
    <row r="902" ht="90.0" customHeight="1"/>
    <row r="903" ht="90.0" customHeight="1"/>
    <row r="904" ht="90.0" customHeight="1"/>
    <row r="905" ht="90.0" customHeight="1"/>
    <row r="906" ht="90.0" customHeight="1"/>
    <row r="907" ht="90.0" customHeight="1"/>
    <row r="908" ht="90.0" customHeight="1"/>
    <row r="909" ht="90.0" customHeight="1"/>
    <row r="910" ht="90.0" customHeight="1"/>
    <row r="911" ht="90.0" customHeight="1"/>
    <row r="912" ht="90.0" customHeight="1"/>
    <row r="913" ht="90.0" customHeight="1"/>
    <row r="914" ht="90.0" customHeight="1"/>
    <row r="915" ht="90.0" customHeight="1"/>
    <row r="916" ht="90.0" customHeight="1"/>
    <row r="917" ht="90.0" customHeight="1"/>
    <row r="918" ht="90.0" customHeight="1"/>
    <row r="919" ht="90.0" customHeight="1"/>
    <row r="920" ht="90.0" customHeight="1"/>
    <row r="921" ht="90.0" customHeight="1"/>
    <row r="922" ht="90.0" customHeight="1"/>
    <row r="923" ht="90.0" customHeight="1"/>
    <row r="924" ht="90.0" customHeight="1"/>
    <row r="925" ht="90.0" customHeight="1"/>
    <row r="926" ht="90.0" customHeight="1"/>
    <row r="927" ht="90.0" customHeight="1"/>
    <row r="928" ht="90.0" customHeight="1"/>
    <row r="929" ht="90.0" customHeight="1"/>
    <row r="930" ht="90.0" customHeight="1"/>
    <row r="931" ht="90.0" customHeight="1"/>
    <row r="932" ht="90.0" customHeight="1"/>
    <row r="933" ht="90.0" customHeight="1"/>
    <row r="934" ht="90.0" customHeight="1"/>
    <row r="935" ht="90.0" customHeight="1"/>
    <row r="936" ht="90.0" customHeight="1"/>
    <row r="937" ht="90.0" customHeight="1"/>
    <row r="938" ht="90.0" customHeight="1"/>
    <row r="939" ht="90.0" customHeight="1"/>
    <row r="940" ht="90.0" customHeight="1"/>
    <row r="941" ht="90.0" customHeight="1"/>
    <row r="942" ht="90.0" customHeight="1"/>
    <row r="943" ht="90.0" customHeight="1"/>
    <row r="944" ht="90.0" customHeight="1"/>
    <row r="945" ht="90.0" customHeight="1"/>
    <row r="946" ht="90.0" customHeight="1"/>
    <row r="947" ht="90.0" customHeight="1"/>
    <row r="948" ht="90.0" customHeight="1"/>
    <row r="949" ht="90.0" customHeight="1"/>
    <row r="950" ht="90.0" customHeight="1"/>
    <row r="951" ht="90.0" customHeight="1"/>
    <row r="952" ht="90.0" customHeight="1"/>
    <row r="953" ht="90.0" customHeight="1"/>
    <row r="954" ht="90.0" customHeight="1"/>
    <row r="955" ht="90.0" customHeight="1"/>
    <row r="956" ht="90.0" customHeight="1"/>
    <row r="957" ht="90.0" customHeight="1"/>
    <row r="958" ht="90.0" customHeight="1"/>
    <row r="959" ht="90.0" customHeight="1"/>
    <row r="960" ht="90.0" customHeight="1"/>
    <row r="961" ht="90.0" customHeight="1"/>
    <row r="962" ht="90.0" customHeight="1"/>
    <row r="963" ht="90.0" customHeight="1"/>
    <row r="964" ht="90.0" customHeight="1"/>
    <row r="965" ht="90.0" customHeight="1"/>
    <row r="966" ht="90.0" customHeight="1"/>
    <row r="967" ht="90.0" customHeight="1"/>
    <row r="968" ht="90.0" customHeight="1"/>
    <row r="969" ht="90.0" customHeight="1"/>
    <row r="970" ht="90.0" customHeight="1"/>
    <row r="971" ht="90.0" customHeight="1"/>
    <row r="972" ht="90.0" customHeight="1"/>
    <row r="973" ht="90.0" customHeight="1"/>
    <row r="974" ht="90.0" customHeight="1"/>
    <row r="975" ht="90.0" customHeight="1"/>
    <row r="976" ht="90.0" customHeight="1"/>
    <row r="977" ht="90.0" customHeight="1"/>
    <row r="978" ht="90.0" customHeight="1"/>
    <row r="979" ht="90.0" customHeight="1"/>
    <row r="980" ht="90.0" customHeight="1"/>
    <row r="981" ht="90.0" customHeight="1"/>
    <row r="982" ht="90.0" customHeight="1"/>
    <row r="983" ht="90.0" customHeight="1"/>
    <row r="984" ht="90.0" customHeight="1"/>
    <row r="985" ht="90.0" customHeight="1"/>
    <row r="986" ht="90.0" customHeight="1"/>
    <row r="987" ht="90.0" customHeight="1"/>
    <row r="988" ht="90.0" customHeight="1"/>
    <row r="989" ht="90.0" customHeight="1"/>
    <row r="990" ht="90.0" customHeight="1"/>
    <row r="991" ht="90.0" customHeight="1"/>
    <row r="992" ht="90.0" customHeight="1"/>
    <row r="993" ht="90.0" customHeight="1"/>
    <row r="994" ht="90.0" customHeight="1"/>
    <row r="995" ht="90.0" customHeight="1"/>
    <row r="996" ht="90.0" customHeight="1"/>
    <row r="997" ht="90.0" customHeight="1"/>
    <row r="998" ht="90.0" customHeight="1"/>
    <row r="999" ht="90.0" customHeight="1"/>
    <row r="1000" ht="90.0" customHeight="1"/>
    <row r="1001" ht="90.0" customHeight="1"/>
    <row r="1002" ht="90.0" customHeight="1"/>
    <row r="1003" ht="90.0" customHeight="1"/>
    <row r="1004" ht="90.0" customHeight="1"/>
    <row r="1005" ht="90.0" customHeight="1"/>
    <row r="1006" ht="90.0" customHeight="1"/>
    <row r="1007" ht="90.0" customHeight="1"/>
    <row r="1008" ht="90.0" customHeight="1"/>
    <row r="1009" ht="90.0" customHeight="1"/>
    <row r="1010" ht="90.0" customHeight="1"/>
  </sheetData>
  <hyperlinks>
    <hyperlink r:id="rId1" ref="T12"/>
    <hyperlink r:id="rId2" ref="T13"/>
    <hyperlink r:id="rId3" ref="T14"/>
    <hyperlink r:id="rId4" ref="T15"/>
    <hyperlink r:id="rId5" ref="T16"/>
    <hyperlink r:id="rId6" ref="T17"/>
    <hyperlink r:id="rId7" ref="C39"/>
    <hyperlink r:id="rId8" ref="C41"/>
    <hyperlink r:id="rId9" ref="C44"/>
    <hyperlink r:id="rId10" ref="C45"/>
    <hyperlink r:id="rId11" ref="C46"/>
    <hyperlink r:id="rId12" ref="C47"/>
    <hyperlink r:id="rId13" ref="C48"/>
    <hyperlink r:id="rId14" ref="C49"/>
    <hyperlink r:id="rId15" ref="C50"/>
    <hyperlink r:id="rId16" ref="C51"/>
    <hyperlink r:id="rId17" ref="C52"/>
    <hyperlink r:id="rId18" ref="C53"/>
    <hyperlink r:id="rId19" ref="C54"/>
    <hyperlink r:id="rId20" ref="C55"/>
    <hyperlink r:id="rId21" ref="C56"/>
    <hyperlink r:id="rId22" ref="C57"/>
    <hyperlink r:id="rId23" ref="C58"/>
    <hyperlink r:id="rId24" ref="C59"/>
    <hyperlink r:id="rId25" ref="C60"/>
    <hyperlink r:id="rId26" ref="C61"/>
    <hyperlink r:id="rId27" ref="C93"/>
    <hyperlink r:id="rId28" ref="C94"/>
    <hyperlink r:id="rId29" ref="C95"/>
    <hyperlink r:id="rId30" ref="C96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4" t="s">
        <v>161</v>
      </c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4" t="s">
        <v>39</v>
      </c>
      <c r="K1" s="24" t="s">
        <v>40</v>
      </c>
      <c r="L1" s="24" t="s">
        <v>41</v>
      </c>
      <c r="M1" s="24" t="s">
        <v>42</v>
      </c>
      <c r="N1" s="24" t="s">
        <v>43</v>
      </c>
      <c r="O1" s="24" t="s">
        <v>44</v>
      </c>
      <c r="P1" s="24" t="s">
        <v>45</v>
      </c>
      <c r="Q1" s="24" t="s">
        <v>46</v>
      </c>
      <c r="R1" s="24" t="s">
        <v>47</v>
      </c>
      <c r="S1" s="24" t="s">
        <v>48</v>
      </c>
      <c r="T1" s="24" t="s">
        <v>49</v>
      </c>
    </row>
    <row r="2" ht="90.0" customHeight="1">
      <c r="A2" s="25"/>
      <c r="B2" s="24" t="s">
        <v>255</v>
      </c>
      <c r="C2" s="24" t="s">
        <v>256</v>
      </c>
      <c r="D2" s="24">
        <v>85000.0</v>
      </c>
      <c r="E2" s="24">
        <v>235000.0</v>
      </c>
      <c r="F2" s="24">
        <v>2500.0</v>
      </c>
      <c r="G2" s="24">
        <v>30.0</v>
      </c>
      <c r="H2" s="24">
        <f>120*F2</f>
        <v>300000</v>
      </c>
      <c r="I2" s="25">
        <f t="shared" ref="I2:I4" si="2">20*F2</f>
        <v>50000</v>
      </c>
      <c r="J2" s="25">
        <f>52*42.5*44/5000*D2/G2</f>
        <v>55102.66667</v>
      </c>
      <c r="K2" s="25">
        <f>18*E2/G2</f>
        <v>141000</v>
      </c>
      <c r="L2" s="24">
        <v>6000.0</v>
      </c>
      <c r="M2" s="25">
        <f t="shared" ref="M2:M29" si="3">H2+I2+J2+L2</f>
        <v>411102.6667</v>
      </c>
      <c r="N2" s="25">
        <f t="shared" ref="N2:N22" si="4">H2+I2+K2+L2</f>
        <v>497000</v>
      </c>
      <c r="O2" s="24">
        <f t="shared" ref="O2:P2" si="1">2*M2/100</f>
        <v>8222.053333</v>
      </c>
      <c r="P2" s="24">
        <f t="shared" si="1"/>
        <v>9940</v>
      </c>
      <c r="Q2" s="24">
        <v>20000.0</v>
      </c>
      <c r="R2" s="25">
        <f t="shared" ref="R2:R22" si="6">M2+Q2</f>
        <v>431102.6667</v>
      </c>
      <c r="S2" s="25">
        <f t="shared" ref="S2:S22" si="7">N2+Q2</f>
        <v>517000</v>
      </c>
      <c r="T2" s="24" t="s">
        <v>257</v>
      </c>
    </row>
    <row r="3" ht="90.0" customHeight="1">
      <c r="A3" s="25"/>
      <c r="B3" s="24" t="s">
        <v>255</v>
      </c>
      <c r="C3" s="24"/>
      <c r="D3" s="24">
        <v>85000.0</v>
      </c>
      <c r="E3" s="24">
        <v>235000.0</v>
      </c>
      <c r="F3" s="24">
        <v>2500.0</v>
      </c>
      <c r="G3" s="24">
        <v>30.0</v>
      </c>
      <c r="H3" s="24">
        <f>160*F3</f>
        <v>400000</v>
      </c>
      <c r="I3" s="25">
        <f t="shared" si="2"/>
        <v>50000</v>
      </c>
      <c r="J3" s="25">
        <f>56*34*49/5000*D3/G3</f>
        <v>52867.73333</v>
      </c>
      <c r="K3" s="25">
        <f>16*E3/G3</f>
        <v>125333.3333</v>
      </c>
      <c r="L3" s="24">
        <v>6000.0</v>
      </c>
      <c r="M3" s="25">
        <f t="shared" si="3"/>
        <v>508867.7333</v>
      </c>
      <c r="N3" s="25">
        <f t="shared" si="4"/>
        <v>581333.3333</v>
      </c>
      <c r="O3" s="24">
        <f t="shared" ref="O3:P3" si="5">2*M3/100</f>
        <v>10177.35467</v>
      </c>
      <c r="P3" s="24">
        <f t="shared" si="5"/>
        <v>11626.66667</v>
      </c>
      <c r="Q3" s="24">
        <v>20000.0</v>
      </c>
      <c r="R3" s="25">
        <f t="shared" si="6"/>
        <v>528867.7333</v>
      </c>
      <c r="S3" s="25">
        <f t="shared" si="7"/>
        <v>601333.3333</v>
      </c>
      <c r="T3" s="24" t="s">
        <v>258</v>
      </c>
    </row>
    <row r="4" ht="90.0" customHeight="1">
      <c r="A4" s="25"/>
      <c r="B4" s="24" t="s">
        <v>255</v>
      </c>
      <c r="C4" s="24"/>
      <c r="D4" s="24">
        <v>85000.0</v>
      </c>
      <c r="E4" s="24">
        <v>235000.0</v>
      </c>
      <c r="F4" s="24">
        <v>2500.0</v>
      </c>
      <c r="G4" s="24">
        <v>16.0</v>
      </c>
      <c r="H4" s="24">
        <f>174*F4</f>
        <v>435000</v>
      </c>
      <c r="I4" s="25">
        <f t="shared" si="2"/>
        <v>50000</v>
      </c>
      <c r="J4" s="25">
        <f>55*35*35/5000*D4/G4</f>
        <v>71585.9375</v>
      </c>
      <c r="K4" s="25">
        <f>15*E4/G4</f>
        <v>220312.5</v>
      </c>
      <c r="L4" s="24">
        <v>6000.0</v>
      </c>
      <c r="M4" s="25">
        <f t="shared" si="3"/>
        <v>562585.9375</v>
      </c>
      <c r="N4" s="25">
        <f t="shared" si="4"/>
        <v>711312.5</v>
      </c>
      <c r="O4" s="24">
        <f t="shared" ref="O4:P4" si="8">2*M4/100</f>
        <v>11251.71875</v>
      </c>
      <c r="P4" s="24">
        <f t="shared" si="8"/>
        <v>14226.25</v>
      </c>
      <c r="Q4" s="24">
        <v>20000.0</v>
      </c>
      <c r="R4" s="25">
        <f t="shared" si="6"/>
        <v>582585.9375</v>
      </c>
      <c r="S4" s="25">
        <f t="shared" si="7"/>
        <v>731312.5</v>
      </c>
      <c r="T4" s="24" t="s">
        <v>259</v>
      </c>
    </row>
    <row r="5" ht="90.0" customHeight="1">
      <c r="A5" s="25"/>
      <c r="B5" s="24" t="s">
        <v>260</v>
      </c>
      <c r="C5" s="32" t="s">
        <v>261</v>
      </c>
      <c r="D5" s="24">
        <v>7000000.0</v>
      </c>
      <c r="E5" s="24">
        <v>230000.0</v>
      </c>
      <c r="F5" s="24">
        <v>2500.0</v>
      </c>
      <c r="G5" s="24">
        <v>50.0</v>
      </c>
      <c r="H5" s="24">
        <f>90*F5</f>
        <v>225000</v>
      </c>
      <c r="I5" s="25">
        <f>120*F5/G5</f>
        <v>6000</v>
      </c>
      <c r="J5" s="25">
        <f>103*27*21/1000000*D5/G5*2</f>
        <v>16352.28</v>
      </c>
      <c r="K5" s="25">
        <f>21*E5/G5*2</f>
        <v>193200</v>
      </c>
      <c r="L5" s="24">
        <v>10000.0</v>
      </c>
      <c r="M5" s="25">
        <f t="shared" si="3"/>
        <v>257352.28</v>
      </c>
      <c r="N5" s="25">
        <f t="shared" si="4"/>
        <v>434200</v>
      </c>
      <c r="O5" s="24">
        <f t="shared" ref="O5:P5" si="9">2*M5/100</f>
        <v>5147.0456</v>
      </c>
      <c r="P5" s="24">
        <f t="shared" si="9"/>
        <v>8684</v>
      </c>
      <c r="Q5" s="24">
        <v>60000.0</v>
      </c>
      <c r="R5" s="25">
        <f t="shared" si="6"/>
        <v>317352.28</v>
      </c>
      <c r="S5" s="25">
        <f t="shared" si="7"/>
        <v>494200</v>
      </c>
      <c r="T5" s="24" t="s">
        <v>262</v>
      </c>
      <c r="U5" s="24">
        <v>520000.0</v>
      </c>
      <c r="V5" s="25">
        <f t="shared" ref="V5:V16" si="11">110*U5/100</f>
        <v>572000</v>
      </c>
      <c r="X5" s="24">
        <v>40000.0</v>
      </c>
      <c r="Y5" s="25">
        <f t="shared" ref="Y5:Y16" si="12">R5+X5</f>
        <v>357352.28</v>
      </c>
      <c r="Z5" s="25">
        <f t="shared" ref="Z5:Z16" si="13">110*Y5/100</f>
        <v>393087.508</v>
      </c>
      <c r="AA5" s="24">
        <f t="shared" ref="AA5:AA16" si="14">AD5</f>
        <v>35735.228</v>
      </c>
      <c r="AB5" s="24">
        <v>410000.0</v>
      </c>
      <c r="AC5" s="25">
        <f t="shared" ref="AC5:AC16" si="15">AB5/15000</f>
        <v>27.33333333</v>
      </c>
      <c r="AD5" s="24">
        <f t="shared" ref="AD5:AD16" si="16">10/100*Y5</f>
        <v>35735.228</v>
      </c>
      <c r="AF5" s="25">
        <f t="shared" ref="AF5:AF16" si="17">ROUNDUP(AC5,1)</f>
        <v>27.4</v>
      </c>
      <c r="AG5" s="25">
        <f t="shared" ref="AG5:AG16" si="18">25000000/100/16000</f>
        <v>15.625</v>
      </c>
    </row>
    <row r="6" ht="90.0" customHeight="1">
      <c r="A6" s="25"/>
      <c r="B6" s="24" t="s">
        <v>260</v>
      </c>
      <c r="C6" s="32" t="s">
        <v>261</v>
      </c>
      <c r="D6" s="24">
        <v>7000000.0</v>
      </c>
      <c r="E6" s="24">
        <v>230000.0</v>
      </c>
      <c r="F6" s="24">
        <v>2500.0</v>
      </c>
      <c r="G6" s="24">
        <v>100.0</v>
      </c>
      <c r="H6" s="24">
        <f>75.89*F6</f>
        <v>189725</v>
      </c>
      <c r="I6" s="25">
        <f>250*F6/G6</f>
        <v>6250</v>
      </c>
      <c r="J6" s="25">
        <f>103*27*21/1000000*D6/G6*2*2</f>
        <v>16352.28</v>
      </c>
      <c r="K6" s="25">
        <f>21*E6/G6*2*2</f>
        <v>193200</v>
      </c>
      <c r="L6" s="24">
        <v>10000.0</v>
      </c>
      <c r="M6" s="25">
        <f t="shared" si="3"/>
        <v>222327.28</v>
      </c>
      <c r="N6" s="25">
        <f t="shared" si="4"/>
        <v>399175</v>
      </c>
      <c r="O6" s="24">
        <f t="shared" ref="O6:P6" si="10">2*M6/100</f>
        <v>4446.5456</v>
      </c>
      <c r="P6" s="24">
        <f t="shared" si="10"/>
        <v>7983.5</v>
      </c>
      <c r="Q6" s="24">
        <v>60000.0</v>
      </c>
      <c r="R6" s="25">
        <f t="shared" si="6"/>
        <v>282327.28</v>
      </c>
      <c r="S6" s="25">
        <f t="shared" si="7"/>
        <v>459175</v>
      </c>
      <c r="T6" s="24" t="s">
        <v>262</v>
      </c>
      <c r="U6" s="24">
        <v>480000.0</v>
      </c>
      <c r="V6" s="25">
        <f t="shared" si="11"/>
        <v>528000</v>
      </c>
      <c r="X6" s="24">
        <v>40000.0</v>
      </c>
      <c r="Y6" s="25">
        <f t="shared" si="12"/>
        <v>322327.28</v>
      </c>
      <c r="Z6" s="25">
        <f t="shared" si="13"/>
        <v>354560.008</v>
      </c>
      <c r="AA6" s="24">
        <f t="shared" si="14"/>
        <v>32232.728</v>
      </c>
      <c r="AB6" s="24">
        <v>370000.0</v>
      </c>
      <c r="AC6" s="25">
        <f t="shared" si="15"/>
        <v>24.66666667</v>
      </c>
      <c r="AD6" s="24">
        <f t="shared" si="16"/>
        <v>32232.728</v>
      </c>
      <c r="AF6" s="25">
        <f t="shared" si="17"/>
        <v>24.7</v>
      </c>
      <c r="AG6" s="25">
        <f t="shared" si="18"/>
        <v>15.625</v>
      </c>
    </row>
    <row r="7" ht="90.0" customHeight="1">
      <c r="A7" s="25"/>
      <c r="B7" s="24" t="s">
        <v>260</v>
      </c>
      <c r="C7" s="32" t="s">
        <v>261</v>
      </c>
      <c r="D7" s="24">
        <v>7000000.0</v>
      </c>
      <c r="E7" s="24">
        <v>230000.0</v>
      </c>
      <c r="F7" s="24">
        <v>2500.0</v>
      </c>
      <c r="G7" s="24">
        <v>200.0</v>
      </c>
      <c r="H7" s="24">
        <f>73*F7</f>
        <v>182500</v>
      </c>
      <c r="I7" s="25">
        <f>500*F7/G7</f>
        <v>6250</v>
      </c>
      <c r="J7" s="25">
        <f>103*27*21/1000000*D7/G7*2*2*2</f>
        <v>16352.28</v>
      </c>
      <c r="K7" s="25">
        <f>21*E7/G7*2*2*2</f>
        <v>193200</v>
      </c>
      <c r="L7" s="24">
        <v>7500.0</v>
      </c>
      <c r="M7" s="25">
        <f t="shared" si="3"/>
        <v>212602.28</v>
      </c>
      <c r="N7" s="25">
        <f t="shared" si="4"/>
        <v>389450</v>
      </c>
      <c r="O7" s="24">
        <f t="shared" ref="O7:P7" si="19">2*M7/100</f>
        <v>4252.0456</v>
      </c>
      <c r="P7" s="24">
        <f t="shared" si="19"/>
        <v>7789</v>
      </c>
      <c r="Q7" s="24">
        <v>60000.0</v>
      </c>
      <c r="R7" s="25">
        <f t="shared" si="6"/>
        <v>272602.28</v>
      </c>
      <c r="S7" s="25">
        <f t="shared" si="7"/>
        <v>449450</v>
      </c>
      <c r="T7" s="24" t="s">
        <v>262</v>
      </c>
      <c r="U7" s="24">
        <v>470000.0</v>
      </c>
      <c r="V7" s="25">
        <f t="shared" si="11"/>
        <v>517000</v>
      </c>
      <c r="X7" s="24">
        <v>40000.0</v>
      </c>
      <c r="Y7" s="25">
        <f t="shared" si="12"/>
        <v>312602.28</v>
      </c>
      <c r="Z7" s="25">
        <f t="shared" si="13"/>
        <v>343862.508</v>
      </c>
      <c r="AA7" s="24">
        <f t="shared" si="14"/>
        <v>31260.228</v>
      </c>
      <c r="AB7" s="24">
        <v>360000.0</v>
      </c>
      <c r="AC7" s="25">
        <f t="shared" si="15"/>
        <v>24</v>
      </c>
      <c r="AD7" s="24">
        <f t="shared" si="16"/>
        <v>31260.228</v>
      </c>
      <c r="AF7" s="25">
        <f t="shared" si="17"/>
        <v>24</v>
      </c>
      <c r="AG7" s="25">
        <f t="shared" si="18"/>
        <v>15.625</v>
      </c>
    </row>
    <row r="8" ht="90.0" customHeight="1">
      <c r="A8" s="25"/>
      <c r="B8" s="24" t="s">
        <v>263</v>
      </c>
      <c r="C8" s="32" t="s">
        <v>261</v>
      </c>
      <c r="D8" s="24">
        <v>7000000.0</v>
      </c>
      <c r="E8" s="24">
        <v>230000.0</v>
      </c>
      <c r="F8" s="24">
        <v>2500.0</v>
      </c>
      <c r="G8" s="24">
        <v>50.0</v>
      </c>
      <c r="H8" s="24">
        <f>96*F8</f>
        <v>240000</v>
      </c>
      <c r="I8" s="25">
        <f>140*F8/G8</f>
        <v>7000</v>
      </c>
      <c r="J8" s="25">
        <f>103*27*21/1000000*D8/G8*2</f>
        <v>16352.28</v>
      </c>
      <c r="K8" s="25">
        <f>22*E8/G8*2</f>
        <v>202400</v>
      </c>
      <c r="L8" s="24">
        <v>10000.0</v>
      </c>
      <c r="M8" s="25">
        <f t="shared" si="3"/>
        <v>273352.28</v>
      </c>
      <c r="N8" s="25">
        <f t="shared" si="4"/>
        <v>459400</v>
      </c>
      <c r="O8" s="24">
        <f t="shared" ref="O8:P8" si="20">2*M8/100</f>
        <v>5467.0456</v>
      </c>
      <c r="P8" s="24">
        <f t="shared" si="20"/>
        <v>9188</v>
      </c>
      <c r="Q8" s="24">
        <v>60000.0</v>
      </c>
      <c r="R8" s="25">
        <f t="shared" si="6"/>
        <v>333352.28</v>
      </c>
      <c r="S8" s="25">
        <f t="shared" si="7"/>
        <v>519400</v>
      </c>
      <c r="T8" s="24" t="s">
        <v>262</v>
      </c>
      <c r="U8" s="24">
        <v>540000.0</v>
      </c>
      <c r="V8" s="25">
        <f t="shared" si="11"/>
        <v>594000</v>
      </c>
      <c r="X8" s="24">
        <v>40000.0</v>
      </c>
      <c r="Y8" s="25">
        <f t="shared" si="12"/>
        <v>373352.28</v>
      </c>
      <c r="Z8" s="25">
        <f t="shared" si="13"/>
        <v>410687.508</v>
      </c>
      <c r="AA8" s="24">
        <f t="shared" si="14"/>
        <v>37335.228</v>
      </c>
      <c r="AB8" s="24">
        <v>420000.0</v>
      </c>
      <c r="AC8" s="25">
        <f t="shared" si="15"/>
        <v>28</v>
      </c>
      <c r="AD8" s="24">
        <f t="shared" si="16"/>
        <v>37335.228</v>
      </c>
      <c r="AF8" s="25">
        <f t="shared" si="17"/>
        <v>28</v>
      </c>
      <c r="AG8" s="25">
        <f t="shared" si="18"/>
        <v>15.625</v>
      </c>
    </row>
    <row r="9" ht="90.0" customHeight="1">
      <c r="A9" s="25"/>
      <c r="B9" s="24" t="s">
        <v>263</v>
      </c>
      <c r="C9" s="32" t="s">
        <v>261</v>
      </c>
      <c r="D9" s="24">
        <v>7000000.0</v>
      </c>
      <c r="E9" s="24">
        <v>230000.0</v>
      </c>
      <c r="F9" s="24">
        <v>2500.0</v>
      </c>
      <c r="G9" s="24">
        <v>100.0</v>
      </c>
      <c r="H9" s="24">
        <f>81.26*F9</f>
        <v>203150</v>
      </c>
      <c r="I9" s="25">
        <f>300*F9/G9</f>
        <v>7500</v>
      </c>
      <c r="J9" s="25">
        <f>103*27*21/1000000*D9/G9*2*2</f>
        <v>16352.28</v>
      </c>
      <c r="K9" s="25">
        <f>22*E9/G9*2*2</f>
        <v>202400</v>
      </c>
      <c r="L9" s="24">
        <v>10000.0</v>
      </c>
      <c r="M9" s="25">
        <f t="shared" si="3"/>
        <v>237002.28</v>
      </c>
      <c r="N9" s="25">
        <f t="shared" si="4"/>
        <v>423050</v>
      </c>
      <c r="O9" s="24">
        <f t="shared" ref="O9:P9" si="21">2*M9/100</f>
        <v>4740.0456</v>
      </c>
      <c r="P9" s="24">
        <f t="shared" si="21"/>
        <v>8461</v>
      </c>
      <c r="Q9" s="24">
        <v>60000.0</v>
      </c>
      <c r="R9" s="25">
        <f t="shared" si="6"/>
        <v>297002.28</v>
      </c>
      <c r="S9" s="25">
        <f t="shared" si="7"/>
        <v>483050</v>
      </c>
      <c r="T9" s="24" t="s">
        <v>262</v>
      </c>
      <c r="U9" s="24">
        <v>505000.0</v>
      </c>
      <c r="V9" s="25">
        <f t="shared" si="11"/>
        <v>555500</v>
      </c>
      <c r="X9" s="24">
        <v>40000.0</v>
      </c>
      <c r="Y9" s="25">
        <f t="shared" si="12"/>
        <v>337002.28</v>
      </c>
      <c r="Z9" s="25">
        <f t="shared" si="13"/>
        <v>370702.508</v>
      </c>
      <c r="AA9" s="24">
        <f t="shared" si="14"/>
        <v>33700.228</v>
      </c>
      <c r="AB9" s="24">
        <v>380000.0</v>
      </c>
      <c r="AC9" s="25">
        <f t="shared" si="15"/>
        <v>25.33333333</v>
      </c>
      <c r="AD9" s="24">
        <f t="shared" si="16"/>
        <v>33700.228</v>
      </c>
      <c r="AF9" s="25">
        <f t="shared" si="17"/>
        <v>25.4</v>
      </c>
      <c r="AG9" s="25">
        <f t="shared" si="18"/>
        <v>15.625</v>
      </c>
    </row>
    <row r="10" ht="90.0" customHeight="1">
      <c r="A10" s="25"/>
      <c r="B10" s="24" t="s">
        <v>263</v>
      </c>
      <c r="C10" s="32" t="s">
        <v>261</v>
      </c>
      <c r="D10" s="24">
        <v>7000000.0</v>
      </c>
      <c r="E10" s="24">
        <v>230000.0</v>
      </c>
      <c r="F10" s="24">
        <v>2500.0</v>
      </c>
      <c r="G10" s="24">
        <v>200.0</v>
      </c>
      <c r="H10" s="24">
        <f>79*F10</f>
        <v>197500</v>
      </c>
      <c r="I10" s="25">
        <f>300*F10/G10*2</f>
        <v>7500</v>
      </c>
      <c r="J10" s="25">
        <f>103*27*21/1000000*D10/G10*2*2*2</f>
        <v>16352.28</v>
      </c>
      <c r="K10" s="25">
        <f>22*E10/G10*2*2*2</f>
        <v>202400</v>
      </c>
      <c r="L10" s="24">
        <v>7500.0</v>
      </c>
      <c r="M10" s="25">
        <f t="shared" si="3"/>
        <v>228852.28</v>
      </c>
      <c r="N10" s="25">
        <f t="shared" si="4"/>
        <v>414900</v>
      </c>
      <c r="O10" s="24">
        <f t="shared" ref="O10:P10" si="22">2*M10/100</f>
        <v>4577.0456</v>
      </c>
      <c r="P10" s="24">
        <f t="shared" si="22"/>
        <v>8298</v>
      </c>
      <c r="Q10" s="24">
        <v>60000.0</v>
      </c>
      <c r="R10" s="25">
        <f t="shared" si="6"/>
        <v>288852.28</v>
      </c>
      <c r="S10" s="25">
        <f t="shared" si="7"/>
        <v>474900</v>
      </c>
      <c r="T10" s="24" t="s">
        <v>262</v>
      </c>
      <c r="U10" s="24">
        <v>495000.0</v>
      </c>
      <c r="V10" s="25">
        <f t="shared" si="11"/>
        <v>544500</v>
      </c>
      <c r="X10" s="24">
        <v>40000.0</v>
      </c>
      <c r="Y10" s="25">
        <f t="shared" si="12"/>
        <v>328852.28</v>
      </c>
      <c r="Z10" s="25">
        <f t="shared" si="13"/>
        <v>361737.508</v>
      </c>
      <c r="AA10" s="24">
        <f t="shared" si="14"/>
        <v>32885.228</v>
      </c>
      <c r="AB10" s="24">
        <v>370000.0</v>
      </c>
      <c r="AC10" s="25">
        <f t="shared" si="15"/>
        <v>24.66666667</v>
      </c>
      <c r="AD10" s="24">
        <f t="shared" si="16"/>
        <v>32885.228</v>
      </c>
      <c r="AF10" s="25">
        <f t="shared" si="17"/>
        <v>24.7</v>
      </c>
      <c r="AG10" s="25">
        <f t="shared" si="18"/>
        <v>15.625</v>
      </c>
    </row>
    <row r="11" ht="90.0" customHeight="1">
      <c r="A11" s="25"/>
      <c r="B11" s="24" t="s">
        <v>260</v>
      </c>
      <c r="C11" s="32" t="s">
        <v>261</v>
      </c>
      <c r="D11" s="24">
        <v>7000000.0</v>
      </c>
      <c r="E11" s="24">
        <v>230000.0</v>
      </c>
      <c r="F11" s="24">
        <v>2500.0</v>
      </c>
      <c r="G11" s="24">
        <v>50.0</v>
      </c>
      <c r="H11" s="24">
        <f>86*F11</f>
        <v>215000</v>
      </c>
      <c r="I11" s="25">
        <f>120*F11/G11</f>
        <v>6000</v>
      </c>
      <c r="J11" s="25">
        <f>103*27*21/1000000*D11/G11*2</f>
        <v>16352.28</v>
      </c>
      <c r="K11" s="25">
        <f>21*E11/G11*2</f>
        <v>193200</v>
      </c>
      <c r="L11" s="24">
        <v>10000.0</v>
      </c>
      <c r="M11" s="25">
        <f t="shared" si="3"/>
        <v>247352.28</v>
      </c>
      <c r="N11" s="25">
        <f t="shared" si="4"/>
        <v>424200</v>
      </c>
      <c r="O11" s="24">
        <f t="shared" ref="O11:P11" si="23">2*M11/100</f>
        <v>4947.0456</v>
      </c>
      <c r="P11" s="24">
        <f t="shared" si="23"/>
        <v>8484</v>
      </c>
      <c r="Q11" s="24">
        <v>60000.0</v>
      </c>
      <c r="R11" s="25">
        <f t="shared" si="6"/>
        <v>307352.28</v>
      </c>
      <c r="S11" s="25">
        <f t="shared" si="7"/>
        <v>484200</v>
      </c>
      <c r="T11" s="24" t="s">
        <v>264</v>
      </c>
      <c r="U11" s="24">
        <v>520000.0</v>
      </c>
      <c r="V11" s="25">
        <f t="shared" si="11"/>
        <v>572000</v>
      </c>
      <c r="X11" s="24">
        <v>40000.0</v>
      </c>
      <c r="Y11" s="25">
        <f t="shared" si="12"/>
        <v>347352.28</v>
      </c>
      <c r="Z11" s="25">
        <f t="shared" si="13"/>
        <v>382087.508</v>
      </c>
      <c r="AA11" s="24">
        <f t="shared" si="14"/>
        <v>34735.228</v>
      </c>
      <c r="AB11" s="24">
        <v>400000.0</v>
      </c>
      <c r="AC11" s="25">
        <f t="shared" si="15"/>
        <v>26.66666667</v>
      </c>
      <c r="AD11" s="24">
        <f t="shared" si="16"/>
        <v>34735.228</v>
      </c>
      <c r="AF11" s="25">
        <f t="shared" si="17"/>
        <v>26.7</v>
      </c>
      <c r="AG11" s="25">
        <f t="shared" si="18"/>
        <v>15.625</v>
      </c>
    </row>
    <row r="12" ht="90.0" customHeight="1">
      <c r="A12" s="25"/>
      <c r="B12" s="24" t="s">
        <v>260</v>
      </c>
      <c r="C12" s="32" t="s">
        <v>261</v>
      </c>
      <c r="D12" s="24">
        <v>7000000.0</v>
      </c>
      <c r="E12" s="24">
        <v>230000.0</v>
      </c>
      <c r="F12" s="24">
        <v>2500.0</v>
      </c>
      <c r="G12" s="24">
        <v>100.0</v>
      </c>
      <c r="H12" s="24">
        <f>71.26*F12</f>
        <v>178150</v>
      </c>
      <c r="I12" s="25">
        <f>250*F12/G12</f>
        <v>6250</v>
      </c>
      <c r="J12" s="25">
        <f>103*27*21/1000000*D12/G12*2*2</f>
        <v>16352.28</v>
      </c>
      <c r="K12" s="25">
        <f>21*E12/G12*2*2</f>
        <v>193200</v>
      </c>
      <c r="L12" s="24">
        <v>10000.0</v>
      </c>
      <c r="M12" s="25">
        <f t="shared" si="3"/>
        <v>210752.28</v>
      </c>
      <c r="N12" s="25">
        <f t="shared" si="4"/>
        <v>387600</v>
      </c>
      <c r="O12" s="24">
        <f t="shared" ref="O12:P12" si="24">2*M12/100</f>
        <v>4215.0456</v>
      </c>
      <c r="P12" s="24">
        <f t="shared" si="24"/>
        <v>7752</v>
      </c>
      <c r="Q12" s="24">
        <v>60000.0</v>
      </c>
      <c r="R12" s="25">
        <f t="shared" si="6"/>
        <v>270752.28</v>
      </c>
      <c r="S12" s="25">
        <f t="shared" si="7"/>
        <v>447600</v>
      </c>
      <c r="T12" s="24" t="s">
        <v>264</v>
      </c>
      <c r="U12" s="24">
        <v>480000.0</v>
      </c>
      <c r="V12" s="25">
        <f t="shared" si="11"/>
        <v>528000</v>
      </c>
      <c r="X12" s="24">
        <v>40000.0</v>
      </c>
      <c r="Y12" s="25">
        <f t="shared" si="12"/>
        <v>310752.28</v>
      </c>
      <c r="Z12" s="25">
        <f t="shared" si="13"/>
        <v>341827.508</v>
      </c>
      <c r="AA12" s="24">
        <f t="shared" si="14"/>
        <v>31075.228</v>
      </c>
      <c r="AB12" s="24">
        <v>360000.0</v>
      </c>
      <c r="AC12" s="25">
        <f t="shared" si="15"/>
        <v>24</v>
      </c>
      <c r="AD12" s="24">
        <f t="shared" si="16"/>
        <v>31075.228</v>
      </c>
      <c r="AF12" s="25">
        <f t="shared" si="17"/>
        <v>24</v>
      </c>
      <c r="AG12" s="25">
        <f t="shared" si="18"/>
        <v>15.625</v>
      </c>
    </row>
    <row r="13" ht="90.0" customHeight="1">
      <c r="A13" s="25"/>
      <c r="B13" s="24" t="s">
        <v>260</v>
      </c>
      <c r="C13" s="32" t="s">
        <v>261</v>
      </c>
      <c r="D13" s="24">
        <v>7000000.0</v>
      </c>
      <c r="E13" s="24">
        <v>230000.0</v>
      </c>
      <c r="F13" s="24">
        <v>2500.0</v>
      </c>
      <c r="G13" s="24">
        <v>200.0</v>
      </c>
      <c r="H13" s="24">
        <f>69*F13</f>
        <v>172500</v>
      </c>
      <c r="I13" s="25">
        <f>500*F13/G13</f>
        <v>6250</v>
      </c>
      <c r="J13" s="25">
        <f>103*27*21/1000000*D13/G13*2*2*2</f>
        <v>16352.28</v>
      </c>
      <c r="K13" s="25">
        <f>21*E13/G13*2*2*2</f>
        <v>193200</v>
      </c>
      <c r="L13" s="24">
        <v>7500.0</v>
      </c>
      <c r="M13" s="25">
        <f t="shared" si="3"/>
        <v>202602.28</v>
      </c>
      <c r="N13" s="25">
        <f t="shared" si="4"/>
        <v>379450</v>
      </c>
      <c r="O13" s="24">
        <f t="shared" ref="O13:P13" si="25">2*M13/100</f>
        <v>4052.0456</v>
      </c>
      <c r="P13" s="24">
        <f t="shared" si="25"/>
        <v>7589</v>
      </c>
      <c r="Q13" s="24">
        <v>60000.0</v>
      </c>
      <c r="R13" s="25">
        <f t="shared" si="6"/>
        <v>262602.28</v>
      </c>
      <c r="S13" s="25">
        <f t="shared" si="7"/>
        <v>439450</v>
      </c>
      <c r="T13" s="24" t="s">
        <v>264</v>
      </c>
      <c r="U13" s="24">
        <v>470000.0</v>
      </c>
      <c r="V13" s="25">
        <f t="shared" si="11"/>
        <v>517000</v>
      </c>
      <c r="X13" s="24">
        <v>40000.0</v>
      </c>
      <c r="Y13" s="25">
        <f t="shared" si="12"/>
        <v>302602.28</v>
      </c>
      <c r="Z13" s="25">
        <f t="shared" si="13"/>
        <v>332862.508</v>
      </c>
      <c r="AA13" s="24">
        <f t="shared" si="14"/>
        <v>30260.228</v>
      </c>
      <c r="AB13" s="24">
        <v>350000.0</v>
      </c>
      <c r="AC13" s="25">
        <f t="shared" si="15"/>
        <v>23.33333333</v>
      </c>
      <c r="AD13" s="24">
        <f t="shared" si="16"/>
        <v>30260.228</v>
      </c>
      <c r="AF13" s="25">
        <f t="shared" si="17"/>
        <v>23.4</v>
      </c>
      <c r="AG13" s="25">
        <f t="shared" si="18"/>
        <v>15.625</v>
      </c>
    </row>
    <row r="14" ht="90.0" customHeight="1">
      <c r="A14" s="25"/>
      <c r="B14" s="24" t="s">
        <v>263</v>
      </c>
      <c r="C14" s="32" t="s">
        <v>261</v>
      </c>
      <c r="D14" s="24">
        <v>7000000.0</v>
      </c>
      <c r="E14" s="24">
        <v>230000.0</v>
      </c>
      <c r="F14" s="24">
        <v>2500.0</v>
      </c>
      <c r="G14" s="24">
        <v>50.0</v>
      </c>
      <c r="H14" s="24">
        <f>91*F14</f>
        <v>227500</v>
      </c>
      <c r="I14" s="25">
        <f>140*F14/G14</f>
        <v>7000</v>
      </c>
      <c r="J14" s="25">
        <f>103*27*21/1000000*D14/G14*2</f>
        <v>16352.28</v>
      </c>
      <c r="K14" s="25">
        <f>22*E14/G14*2</f>
        <v>202400</v>
      </c>
      <c r="L14" s="24">
        <v>10000.0</v>
      </c>
      <c r="M14" s="25">
        <f t="shared" si="3"/>
        <v>260852.28</v>
      </c>
      <c r="N14" s="25">
        <f t="shared" si="4"/>
        <v>446900</v>
      </c>
      <c r="O14" s="24">
        <f t="shared" ref="O14:P14" si="26">2*M14/100</f>
        <v>5217.0456</v>
      </c>
      <c r="P14" s="24">
        <f t="shared" si="26"/>
        <v>8938</v>
      </c>
      <c r="Q14" s="24">
        <v>60000.0</v>
      </c>
      <c r="R14" s="25">
        <f t="shared" si="6"/>
        <v>320852.28</v>
      </c>
      <c r="S14" s="25">
        <f t="shared" si="7"/>
        <v>506900</v>
      </c>
      <c r="T14" s="24" t="s">
        <v>264</v>
      </c>
      <c r="U14" s="24">
        <v>540000.0</v>
      </c>
      <c r="V14" s="25">
        <f t="shared" si="11"/>
        <v>594000</v>
      </c>
      <c r="X14" s="24">
        <v>40000.0</v>
      </c>
      <c r="Y14" s="25">
        <f t="shared" si="12"/>
        <v>360852.28</v>
      </c>
      <c r="Z14" s="25">
        <f t="shared" si="13"/>
        <v>396937.508</v>
      </c>
      <c r="AA14" s="24">
        <f t="shared" si="14"/>
        <v>36085.228</v>
      </c>
      <c r="AB14" s="24">
        <v>410000.0</v>
      </c>
      <c r="AC14" s="25">
        <f t="shared" si="15"/>
        <v>27.33333333</v>
      </c>
      <c r="AD14" s="24">
        <f t="shared" si="16"/>
        <v>36085.228</v>
      </c>
      <c r="AF14" s="25">
        <f t="shared" si="17"/>
        <v>27.4</v>
      </c>
      <c r="AG14" s="25">
        <f t="shared" si="18"/>
        <v>15.625</v>
      </c>
    </row>
    <row r="15" ht="90.0" customHeight="1">
      <c r="A15" s="25"/>
      <c r="B15" s="24" t="s">
        <v>263</v>
      </c>
      <c r="C15" s="32" t="s">
        <v>261</v>
      </c>
      <c r="D15" s="24">
        <v>7000000.0</v>
      </c>
      <c r="E15" s="24">
        <v>230000.0</v>
      </c>
      <c r="F15" s="24">
        <v>2500.0</v>
      </c>
      <c r="G15" s="24">
        <v>100.0</v>
      </c>
      <c r="H15" s="24">
        <f>75.63*F15</f>
        <v>189075</v>
      </c>
      <c r="I15" s="25">
        <f>300*F15/G15</f>
        <v>7500</v>
      </c>
      <c r="J15" s="25">
        <f>103*27*21/1000000*D15/G15*2*2</f>
        <v>16352.28</v>
      </c>
      <c r="K15" s="25">
        <f>22*E15/G15*2*2</f>
        <v>202400</v>
      </c>
      <c r="L15" s="24">
        <v>10000.0</v>
      </c>
      <c r="M15" s="25">
        <f t="shared" si="3"/>
        <v>222927.28</v>
      </c>
      <c r="N15" s="25">
        <f t="shared" si="4"/>
        <v>408975</v>
      </c>
      <c r="O15" s="24">
        <f t="shared" ref="O15:P15" si="27">2*M15/100</f>
        <v>4458.5456</v>
      </c>
      <c r="P15" s="24">
        <f t="shared" si="27"/>
        <v>8179.5</v>
      </c>
      <c r="Q15" s="24">
        <v>60000.0</v>
      </c>
      <c r="R15" s="25">
        <f t="shared" si="6"/>
        <v>282927.28</v>
      </c>
      <c r="S15" s="25">
        <f t="shared" si="7"/>
        <v>468975</v>
      </c>
      <c r="T15" s="24" t="s">
        <v>264</v>
      </c>
      <c r="U15" s="24">
        <v>505000.0</v>
      </c>
      <c r="V15" s="25">
        <f t="shared" si="11"/>
        <v>555500</v>
      </c>
      <c r="X15" s="24">
        <v>40000.0</v>
      </c>
      <c r="Y15" s="25">
        <f t="shared" si="12"/>
        <v>322927.28</v>
      </c>
      <c r="Z15" s="25">
        <f t="shared" si="13"/>
        <v>355220.008</v>
      </c>
      <c r="AA15" s="24">
        <f t="shared" si="14"/>
        <v>32292.728</v>
      </c>
      <c r="AB15" s="24">
        <v>370000.0</v>
      </c>
      <c r="AC15" s="25">
        <f t="shared" si="15"/>
        <v>24.66666667</v>
      </c>
      <c r="AD15" s="24">
        <f t="shared" si="16"/>
        <v>32292.728</v>
      </c>
      <c r="AF15" s="25">
        <f t="shared" si="17"/>
        <v>24.7</v>
      </c>
      <c r="AG15" s="25">
        <f t="shared" si="18"/>
        <v>15.625</v>
      </c>
    </row>
    <row r="16" ht="90.0" customHeight="1">
      <c r="A16" s="25"/>
      <c r="B16" s="24" t="s">
        <v>263</v>
      </c>
      <c r="C16" s="32" t="s">
        <v>261</v>
      </c>
      <c r="D16" s="24">
        <v>7000000.0</v>
      </c>
      <c r="E16" s="24">
        <v>230000.0</v>
      </c>
      <c r="F16" s="24">
        <v>2500.0</v>
      </c>
      <c r="G16" s="24">
        <v>200.0</v>
      </c>
      <c r="H16" s="24">
        <f>73*F16</f>
        <v>182500</v>
      </c>
      <c r="I16" s="25">
        <f>300*F16/G16*2</f>
        <v>7500</v>
      </c>
      <c r="J16" s="25">
        <f>103*27*21/1000000*D16/G16*2*2*2</f>
        <v>16352.28</v>
      </c>
      <c r="K16" s="25">
        <f>22*E16/G16*2*2*2</f>
        <v>202400</v>
      </c>
      <c r="L16" s="24">
        <v>7500.0</v>
      </c>
      <c r="M16" s="25">
        <f t="shared" si="3"/>
        <v>213852.28</v>
      </c>
      <c r="N16" s="25">
        <f t="shared" si="4"/>
        <v>399900</v>
      </c>
      <c r="O16" s="24">
        <f t="shared" ref="O16:P16" si="28">2*M16/100</f>
        <v>4277.0456</v>
      </c>
      <c r="P16" s="24">
        <f t="shared" si="28"/>
        <v>7998</v>
      </c>
      <c r="Q16" s="24">
        <v>60000.0</v>
      </c>
      <c r="R16" s="25">
        <f t="shared" si="6"/>
        <v>273852.28</v>
      </c>
      <c r="S16" s="25">
        <f t="shared" si="7"/>
        <v>459900</v>
      </c>
      <c r="T16" s="24" t="s">
        <v>264</v>
      </c>
      <c r="U16" s="24">
        <v>495000.0</v>
      </c>
      <c r="V16" s="25">
        <f t="shared" si="11"/>
        <v>544500</v>
      </c>
      <c r="X16" s="24">
        <v>40000.0</v>
      </c>
      <c r="Y16" s="25">
        <f t="shared" si="12"/>
        <v>313852.28</v>
      </c>
      <c r="Z16" s="25">
        <f t="shared" si="13"/>
        <v>345237.508</v>
      </c>
      <c r="AA16" s="24">
        <f t="shared" si="14"/>
        <v>31385.228</v>
      </c>
      <c r="AB16" s="24">
        <v>360000.0</v>
      </c>
      <c r="AC16" s="25">
        <f t="shared" si="15"/>
        <v>24</v>
      </c>
      <c r="AD16" s="24">
        <f t="shared" si="16"/>
        <v>31385.228</v>
      </c>
      <c r="AF16" s="25">
        <f t="shared" si="17"/>
        <v>24</v>
      </c>
      <c r="AG16" s="25">
        <f t="shared" si="18"/>
        <v>15.625</v>
      </c>
    </row>
    <row r="17" ht="90.0" customHeight="1">
      <c r="A17" s="25"/>
      <c r="B17" s="24" t="s">
        <v>265</v>
      </c>
      <c r="C17" s="32" t="s">
        <v>261</v>
      </c>
      <c r="D17" s="24">
        <v>7000000.0</v>
      </c>
      <c r="E17" s="24">
        <v>230000.0</v>
      </c>
      <c r="F17" s="24">
        <v>2500.0</v>
      </c>
      <c r="G17" s="24">
        <v>50.0</v>
      </c>
      <c r="H17" s="24">
        <f>80*F17</f>
        <v>200000</v>
      </c>
      <c r="I17" s="25">
        <f>100*F17/G17</f>
        <v>5000</v>
      </c>
      <c r="J17" s="25">
        <f>103*27*21/1000000*D17/G17*2</f>
        <v>16352.28</v>
      </c>
      <c r="K17" s="25">
        <f>20*E17/G17*2</f>
        <v>184000</v>
      </c>
      <c r="L17" s="24">
        <v>10000.0</v>
      </c>
      <c r="M17" s="25">
        <f t="shared" si="3"/>
        <v>231352.28</v>
      </c>
      <c r="N17" s="25">
        <f t="shared" si="4"/>
        <v>399000</v>
      </c>
      <c r="O17" s="24">
        <f t="shared" ref="O17:P17" si="29">2*M17/100</f>
        <v>4627.0456</v>
      </c>
      <c r="P17" s="24">
        <f t="shared" si="29"/>
        <v>7980</v>
      </c>
      <c r="Q17" s="24">
        <v>60000.0</v>
      </c>
      <c r="R17" s="25">
        <f t="shared" si="6"/>
        <v>291352.28</v>
      </c>
      <c r="S17" s="25">
        <f t="shared" si="7"/>
        <v>459000</v>
      </c>
    </row>
    <row r="18" ht="90.0" customHeight="1">
      <c r="A18" s="25"/>
      <c r="B18" s="24" t="s">
        <v>265</v>
      </c>
      <c r="C18" s="32" t="s">
        <v>261</v>
      </c>
      <c r="D18" s="24">
        <v>7000000.0</v>
      </c>
      <c r="E18" s="24">
        <v>230000.0</v>
      </c>
      <c r="F18" s="24">
        <v>2500.0</v>
      </c>
      <c r="G18" s="24">
        <v>100.0</v>
      </c>
      <c r="H18" s="24">
        <f>65.96*F18</f>
        <v>164900</v>
      </c>
      <c r="I18" s="25">
        <f>100*F18/G18*2</f>
        <v>5000</v>
      </c>
      <c r="J18" s="25">
        <f>103*27*21/1000000*D18/G18*2*2</f>
        <v>16352.28</v>
      </c>
      <c r="K18" s="25">
        <f>20*E18/G18*2*2</f>
        <v>184000</v>
      </c>
      <c r="L18" s="24">
        <v>10000.0</v>
      </c>
      <c r="M18" s="25">
        <f t="shared" si="3"/>
        <v>196252.28</v>
      </c>
      <c r="N18" s="25">
        <f t="shared" si="4"/>
        <v>363900</v>
      </c>
      <c r="O18" s="24">
        <f t="shared" ref="O18:P18" si="30">2*M18/100</f>
        <v>3925.0456</v>
      </c>
      <c r="P18" s="24">
        <f t="shared" si="30"/>
        <v>7278</v>
      </c>
      <c r="Q18" s="24">
        <v>60000.0</v>
      </c>
      <c r="R18" s="25">
        <f t="shared" si="6"/>
        <v>256252.28</v>
      </c>
      <c r="S18" s="25">
        <f t="shared" si="7"/>
        <v>423900</v>
      </c>
    </row>
    <row r="19" ht="90.0" customHeight="1">
      <c r="A19" s="25"/>
      <c r="B19" s="24" t="s">
        <v>266</v>
      </c>
      <c r="C19" s="32" t="s">
        <v>261</v>
      </c>
      <c r="D19" s="24">
        <v>7000000.0</v>
      </c>
      <c r="E19" s="24">
        <v>230000.0</v>
      </c>
      <c r="F19" s="24">
        <v>2500.0</v>
      </c>
      <c r="G19" s="24">
        <v>50.0</v>
      </c>
      <c r="H19" s="24">
        <f>89*F19</f>
        <v>222500</v>
      </c>
      <c r="I19" s="25">
        <f>120*F19/G19</f>
        <v>6000</v>
      </c>
      <c r="J19" s="25">
        <f>103*27*21/1000000*D19/G19*2</f>
        <v>16352.28</v>
      </c>
      <c r="K19" s="25">
        <f>20*E19/G19*2</f>
        <v>184000</v>
      </c>
      <c r="L19" s="24">
        <v>10000.0</v>
      </c>
      <c r="M19" s="25">
        <f t="shared" si="3"/>
        <v>254852.28</v>
      </c>
      <c r="N19" s="25">
        <f t="shared" si="4"/>
        <v>422500</v>
      </c>
      <c r="O19" s="24">
        <f t="shared" ref="O19:P19" si="31">2*M19/100</f>
        <v>5097.0456</v>
      </c>
      <c r="P19" s="24">
        <f t="shared" si="31"/>
        <v>8450</v>
      </c>
      <c r="Q19" s="24">
        <v>60000.0</v>
      </c>
      <c r="R19" s="25">
        <f t="shared" si="6"/>
        <v>314852.28</v>
      </c>
      <c r="S19" s="25">
        <f t="shared" si="7"/>
        <v>482500</v>
      </c>
    </row>
    <row r="20" ht="90.0" customHeight="1">
      <c r="A20" s="25"/>
      <c r="B20" s="24" t="s">
        <v>266</v>
      </c>
      <c r="C20" s="32" t="s">
        <v>261</v>
      </c>
      <c r="D20" s="24">
        <v>7000000.0</v>
      </c>
      <c r="E20" s="24">
        <v>230000.0</v>
      </c>
      <c r="F20" s="24">
        <v>2500.0</v>
      </c>
      <c r="G20" s="24">
        <v>100.0</v>
      </c>
      <c r="H20" s="24">
        <f>66.46*F20</f>
        <v>166150</v>
      </c>
      <c r="I20" s="25">
        <f>250*F20/G20</f>
        <v>6250</v>
      </c>
      <c r="J20" s="25">
        <f>103*27*21/1000000*D20/G20*2*2</f>
        <v>16352.28</v>
      </c>
      <c r="K20" s="25">
        <f>20*E20/G20*2*2</f>
        <v>184000</v>
      </c>
      <c r="L20" s="24">
        <v>10000.0</v>
      </c>
      <c r="M20" s="25">
        <f t="shared" si="3"/>
        <v>198752.28</v>
      </c>
      <c r="N20" s="25">
        <f t="shared" si="4"/>
        <v>366400</v>
      </c>
      <c r="O20" s="24">
        <f t="shared" ref="O20:P20" si="32">2*M20/100</f>
        <v>3975.0456</v>
      </c>
      <c r="P20" s="24">
        <f t="shared" si="32"/>
        <v>7328</v>
      </c>
      <c r="Q20" s="24">
        <v>60000.0</v>
      </c>
      <c r="R20" s="25">
        <f t="shared" si="6"/>
        <v>258752.28</v>
      </c>
      <c r="S20" s="25">
        <f t="shared" si="7"/>
        <v>426400</v>
      </c>
    </row>
    <row r="21" ht="90.0" customHeight="1">
      <c r="A21" s="25"/>
      <c r="B21" s="24" t="s">
        <v>267</v>
      </c>
      <c r="C21" s="32" t="s">
        <v>261</v>
      </c>
      <c r="D21" s="24">
        <v>7000000.0</v>
      </c>
      <c r="E21" s="24">
        <v>230000.0</v>
      </c>
      <c r="F21" s="24">
        <v>2500.0</v>
      </c>
      <c r="G21" s="24">
        <v>50.0</v>
      </c>
      <c r="H21" s="24">
        <f>96*F21</f>
        <v>240000</v>
      </c>
      <c r="I21" s="25">
        <f>140*F21/G21</f>
        <v>7000</v>
      </c>
      <c r="J21" s="25">
        <f>103*27*21/1000000*D21/G21*2</f>
        <v>16352.28</v>
      </c>
      <c r="K21" s="25">
        <f>20*E21/G21*2</f>
        <v>184000</v>
      </c>
      <c r="L21" s="24">
        <v>10000.0</v>
      </c>
      <c r="M21" s="25">
        <f t="shared" si="3"/>
        <v>273352.28</v>
      </c>
      <c r="N21" s="25">
        <f t="shared" si="4"/>
        <v>441000</v>
      </c>
      <c r="O21" s="24">
        <f t="shared" ref="O21:P21" si="33">2*M21/100</f>
        <v>5467.0456</v>
      </c>
      <c r="P21" s="24">
        <f t="shared" si="33"/>
        <v>8820</v>
      </c>
      <c r="Q21" s="24">
        <v>60000.0</v>
      </c>
      <c r="R21" s="25">
        <f t="shared" si="6"/>
        <v>333352.28</v>
      </c>
      <c r="S21" s="25">
        <f t="shared" si="7"/>
        <v>501000</v>
      </c>
    </row>
    <row r="22" ht="90.0" customHeight="1">
      <c r="A22" s="25"/>
      <c r="B22" s="24" t="s">
        <v>267</v>
      </c>
      <c r="C22" s="32" t="s">
        <v>261</v>
      </c>
      <c r="D22" s="24">
        <v>7000000.0</v>
      </c>
      <c r="E22" s="24">
        <v>230000.0</v>
      </c>
      <c r="F22" s="24">
        <v>2500.0</v>
      </c>
      <c r="G22" s="24">
        <v>100.0</v>
      </c>
      <c r="H22" s="24">
        <f>74.42*F22</f>
        <v>186050</v>
      </c>
      <c r="I22" s="25">
        <f>300*F22/G22</f>
        <v>7500</v>
      </c>
      <c r="J22" s="25">
        <f>103*27*21/1000000*D22/G22*2*2</f>
        <v>16352.28</v>
      </c>
      <c r="K22" s="25">
        <f>20*E22/G22*2*2</f>
        <v>184000</v>
      </c>
      <c r="L22" s="24">
        <v>10000.0</v>
      </c>
      <c r="M22" s="25">
        <f t="shared" si="3"/>
        <v>219902.28</v>
      </c>
      <c r="N22" s="25">
        <f t="shared" si="4"/>
        <v>387550</v>
      </c>
      <c r="O22" s="24">
        <f t="shared" ref="O22:P22" si="34">2*M22/100</f>
        <v>4398.0456</v>
      </c>
      <c r="P22" s="24">
        <f t="shared" si="34"/>
        <v>7751</v>
      </c>
      <c r="Q22" s="24">
        <v>60000.0</v>
      </c>
      <c r="R22" s="25">
        <f t="shared" si="6"/>
        <v>279902.28</v>
      </c>
      <c r="S22" s="25">
        <f t="shared" si="7"/>
        <v>447550</v>
      </c>
    </row>
    <row r="23" ht="90.0" customHeight="1">
      <c r="A23" s="25"/>
      <c r="B23" s="30" t="s">
        <v>268</v>
      </c>
      <c r="C23" s="24" t="s">
        <v>269</v>
      </c>
      <c r="D23" s="24">
        <v>5500000.0</v>
      </c>
      <c r="E23" s="24">
        <v>220000.0</v>
      </c>
      <c r="F23" s="24">
        <v>2500.0</v>
      </c>
      <c r="G23" s="24">
        <v>120.0</v>
      </c>
      <c r="H23" s="25">
        <f>2*F23</f>
        <v>5000</v>
      </c>
      <c r="I23" s="25">
        <f t="shared" ref="I23:I29" si="35">1*F23</f>
        <v>2500</v>
      </c>
      <c r="J23" s="25">
        <f t="shared" ref="J23:J28" si="36">0.1*D23/G23</f>
        <v>4583.333333</v>
      </c>
      <c r="L23" s="24">
        <v>5000.0</v>
      </c>
      <c r="M23" s="25">
        <f t="shared" si="3"/>
        <v>17083.33333</v>
      </c>
      <c r="O23" s="24">
        <f t="shared" ref="O23:O30" si="37">2*M23/100</f>
        <v>341.6666667</v>
      </c>
      <c r="Q23" s="24">
        <v>10000.0</v>
      </c>
      <c r="R23" s="25">
        <f t="shared" ref="R23:R29" si="38">M23+O23+Q23</f>
        <v>27425</v>
      </c>
      <c r="T23" s="24" t="s">
        <v>270</v>
      </c>
    </row>
    <row r="24" ht="90.0" customHeight="1">
      <c r="A24" s="25"/>
      <c r="B24" s="30" t="s">
        <v>268</v>
      </c>
      <c r="C24" s="24" t="s">
        <v>269</v>
      </c>
      <c r="D24" s="24">
        <v>5500000.0</v>
      </c>
      <c r="E24" s="24">
        <v>220000.0</v>
      </c>
      <c r="F24" s="24">
        <v>2500.0</v>
      </c>
      <c r="G24" s="24">
        <v>120.0</v>
      </c>
      <c r="H24" s="25">
        <f>3*F24</f>
        <v>7500</v>
      </c>
      <c r="I24" s="25">
        <f t="shared" si="35"/>
        <v>2500</v>
      </c>
      <c r="J24" s="25">
        <f t="shared" si="36"/>
        <v>4583.333333</v>
      </c>
      <c r="L24" s="24">
        <v>5000.0</v>
      </c>
      <c r="M24" s="25">
        <f t="shared" si="3"/>
        <v>19583.33333</v>
      </c>
      <c r="O24" s="24">
        <f t="shared" si="37"/>
        <v>391.6666667</v>
      </c>
      <c r="Q24" s="24">
        <v>10000.0</v>
      </c>
      <c r="R24" s="25">
        <f t="shared" si="38"/>
        <v>29975</v>
      </c>
      <c r="T24" s="24" t="s">
        <v>271</v>
      </c>
    </row>
    <row r="25" ht="90.0" customHeight="1">
      <c r="A25" s="25"/>
      <c r="B25" s="30" t="s">
        <v>272</v>
      </c>
      <c r="C25" s="24" t="s">
        <v>269</v>
      </c>
      <c r="D25" s="24">
        <v>5500000.0</v>
      </c>
      <c r="E25" s="24">
        <v>220000.0</v>
      </c>
      <c r="F25" s="24">
        <v>2500.0</v>
      </c>
      <c r="G25" s="24">
        <v>120.0</v>
      </c>
      <c r="H25" s="25">
        <f>2*F25</f>
        <v>5000</v>
      </c>
      <c r="I25" s="25">
        <f t="shared" si="35"/>
        <v>2500</v>
      </c>
      <c r="J25" s="25">
        <f t="shared" si="36"/>
        <v>4583.333333</v>
      </c>
      <c r="L25" s="24">
        <v>5000.0</v>
      </c>
      <c r="M25" s="25">
        <f t="shared" si="3"/>
        <v>17083.33333</v>
      </c>
      <c r="O25" s="24">
        <f t="shared" si="37"/>
        <v>341.6666667</v>
      </c>
      <c r="Q25" s="24">
        <v>10000.0</v>
      </c>
      <c r="R25" s="25">
        <f t="shared" si="38"/>
        <v>27425</v>
      </c>
      <c r="T25" s="24" t="s">
        <v>273</v>
      </c>
    </row>
    <row r="26" ht="90.0" customHeight="1">
      <c r="A26" s="25"/>
      <c r="B26" s="30" t="s">
        <v>272</v>
      </c>
      <c r="C26" s="24" t="s">
        <v>269</v>
      </c>
      <c r="D26" s="24">
        <v>5500000.0</v>
      </c>
      <c r="E26" s="24">
        <v>220000.0</v>
      </c>
      <c r="F26" s="24">
        <v>2500.0</v>
      </c>
      <c r="G26" s="24">
        <v>120.0</v>
      </c>
      <c r="H26" s="25">
        <f t="shared" ref="H26:H27" si="39">3*F26</f>
        <v>7500</v>
      </c>
      <c r="I26" s="25">
        <f t="shared" si="35"/>
        <v>2500</v>
      </c>
      <c r="J26" s="25">
        <f t="shared" si="36"/>
        <v>4583.333333</v>
      </c>
      <c r="L26" s="24">
        <v>5000.0</v>
      </c>
      <c r="M26" s="25">
        <f t="shared" si="3"/>
        <v>19583.33333</v>
      </c>
      <c r="O26" s="24">
        <f t="shared" si="37"/>
        <v>391.6666667</v>
      </c>
      <c r="Q26" s="24">
        <v>10000.0</v>
      </c>
      <c r="R26" s="25">
        <f t="shared" si="38"/>
        <v>29975</v>
      </c>
      <c r="T26" s="24" t="s">
        <v>274</v>
      </c>
    </row>
    <row r="27" ht="90.0" customHeight="1">
      <c r="A27" s="25"/>
      <c r="B27" s="30" t="s">
        <v>275</v>
      </c>
      <c r="C27" s="24" t="s">
        <v>269</v>
      </c>
      <c r="D27" s="24">
        <v>5500000.0</v>
      </c>
      <c r="E27" s="24">
        <v>220000.0</v>
      </c>
      <c r="F27" s="24">
        <v>2500.0</v>
      </c>
      <c r="G27" s="24">
        <v>120.0</v>
      </c>
      <c r="H27" s="25">
        <f t="shared" si="39"/>
        <v>7500</v>
      </c>
      <c r="I27" s="25">
        <f t="shared" si="35"/>
        <v>2500</v>
      </c>
      <c r="J27" s="25">
        <f t="shared" si="36"/>
        <v>4583.333333</v>
      </c>
      <c r="L27" s="24">
        <v>5000.0</v>
      </c>
      <c r="M27" s="25">
        <f t="shared" si="3"/>
        <v>19583.33333</v>
      </c>
      <c r="O27" s="24">
        <f t="shared" si="37"/>
        <v>391.6666667</v>
      </c>
      <c r="Q27" s="24">
        <v>10000.0</v>
      </c>
      <c r="R27" s="25">
        <f t="shared" si="38"/>
        <v>29975</v>
      </c>
      <c r="T27" s="24" t="s">
        <v>276</v>
      </c>
    </row>
    <row r="28" ht="90.0" customHeight="1">
      <c r="A28" s="25"/>
      <c r="B28" s="30" t="s">
        <v>275</v>
      </c>
      <c r="C28" s="24" t="s">
        <v>269</v>
      </c>
      <c r="D28" s="24">
        <v>7000000.0</v>
      </c>
      <c r="E28" s="24">
        <v>235000.0</v>
      </c>
      <c r="F28" s="24">
        <v>2500.0</v>
      </c>
      <c r="G28" s="24">
        <v>120.0</v>
      </c>
      <c r="H28" s="25">
        <f>3.5*F28</f>
        <v>8750</v>
      </c>
      <c r="I28" s="25">
        <f t="shared" si="35"/>
        <v>2500</v>
      </c>
      <c r="J28" s="25">
        <f t="shared" si="36"/>
        <v>5833.333333</v>
      </c>
      <c r="L28" s="24">
        <v>5000.0</v>
      </c>
      <c r="M28" s="25">
        <f t="shared" si="3"/>
        <v>22083.33333</v>
      </c>
      <c r="O28" s="24">
        <f t="shared" si="37"/>
        <v>441.6666667</v>
      </c>
      <c r="Q28" s="24">
        <v>10000.0</v>
      </c>
      <c r="R28" s="25">
        <f t="shared" si="38"/>
        <v>32525</v>
      </c>
      <c r="T28" s="24" t="s">
        <v>277</v>
      </c>
    </row>
    <row r="29" ht="90.0" customHeight="1">
      <c r="B29" s="24" t="s">
        <v>105</v>
      </c>
      <c r="C29" s="24" t="s">
        <v>106</v>
      </c>
      <c r="D29" s="24">
        <v>1.0E7</v>
      </c>
      <c r="F29" s="24">
        <v>2750.0</v>
      </c>
      <c r="G29" s="24">
        <v>500.0</v>
      </c>
      <c r="H29" s="25">
        <f>22.56*F29</f>
        <v>62040</v>
      </c>
      <c r="I29" s="25">
        <f t="shared" si="35"/>
        <v>2750</v>
      </c>
      <c r="J29" s="25">
        <f>1*D29/G29</f>
        <v>20000</v>
      </c>
      <c r="L29" s="24">
        <v>5000.0</v>
      </c>
      <c r="M29" s="25">
        <f t="shared" si="3"/>
        <v>89790</v>
      </c>
      <c r="O29" s="24">
        <f t="shared" si="37"/>
        <v>1795.8</v>
      </c>
      <c r="Q29" s="24">
        <v>10000.0</v>
      </c>
      <c r="R29" s="25">
        <f t="shared" si="38"/>
        <v>101585.8</v>
      </c>
    </row>
    <row r="30" ht="90.0" customHeight="1">
      <c r="B30" s="24" t="s">
        <v>278</v>
      </c>
      <c r="C30" s="24" t="s">
        <v>106</v>
      </c>
      <c r="D30" s="24">
        <v>1.0E7</v>
      </c>
      <c r="E30" s="24">
        <v>250000.0</v>
      </c>
      <c r="F30" s="24">
        <v>2800.0</v>
      </c>
      <c r="G30" s="24">
        <v>500.0</v>
      </c>
      <c r="H30" s="25">
        <f>2.3*F30</f>
        <v>6440</v>
      </c>
      <c r="I30" s="25">
        <f>18*F30/G30</f>
        <v>100.8</v>
      </c>
      <c r="K30" s="25">
        <f>4*E30/G30</f>
        <v>2000</v>
      </c>
      <c r="L30" s="25">
        <f>4*25000/G30</f>
        <v>200</v>
      </c>
      <c r="N30" s="25">
        <f>H30+I30+K30+L30</f>
        <v>8740.8</v>
      </c>
      <c r="O30" s="24">
        <f t="shared" si="37"/>
        <v>0</v>
      </c>
      <c r="P30" s="24">
        <f>2*N30/100</f>
        <v>174.816</v>
      </c>
      <c r="Q30" s="24">
        <f>10000</f>
        <v>10000</v>
      </c>
      <c r="R30" s="25">
        <f>M30+Q30</f>
        <v>10000</v>
      </c>
      <c r="S30" s="25">
        <f>N30+Q30</f>
        <v>18740.8</v>
      </c>
    </row>
    <row r="31" ht="90.0" customHeight="1"/>
    <row r="32" ht="90.0" customHeight="1"/>
    <row r="33" ht="90.0" customHeight="1"/>
    <row r="34" ht="90.0" customHeight="1"/>
    <row r="35" ht="90.0" customHeight="1"/>
    <row r="36" ht="90.0" customHeight="1"/>
    <row r="37" ht="90.0" customHeight="1"/>
    <row r="38" ht="90.0" customHeight="1"/>
    <row r="39" ht="90.0" customHeight="1"/>
    <row r="40" ht="90.0" customHeight="1"/>
    <row r="41" ht="90.0" customHeight="1"/>
    <row r="42" ht="90.0" customHeight="1"/>
    <row r="43" ht="90.0" customHeight="1"/>
    <row r="44" ht="90.0" customHeight="1"/>
    <row r="45" ht="90.0" customHeight="1"/>
    <row r="46" ht="90.0" customHeight="1"/>
    <row r="47" ht="90.0" customHeight="1"/>
    <row r="48" ht="90.0" customHeight="1"/>
    <row r="49" ht="90.0" customHeight="1"/>
    <row r="50" ht="90.0" customHeight="1"/>
    <row r="51" ht="90.0" customHeight="1"/>
    <row r="52" ht="90.0" customHeight="1"/>
    <row r="53" ht="90.0" customHeight="1"/>
    <row r="54" ht="90.0" customHeight="1"/>
    <row r="55" ht="90.0" customHeight="1"/>
    <row r="56" ht="90.0" customHeight="1"/>
    <row r="57" ht="90.0" customHeight="1"/>
    <row r="58" ht="90.0" customHeight="1"/>
    <row r="59" ht="90.0" customHeight="1"/>
    <row r="60" ht="90.0" customHeight="1"/>
    <row r="61" ht="90.0" customHeight="1"/>
    <row r="62" ht="90.0" customHeight="1"/>
    <row r="63" ht="90.0" customHeight="1"/>
    <row r="64" ht="90.0" customHeight="1"/>
    <row r="65" ht="90.0" customHeight="1"/>
    <row r="66" ht="90.0" customHeight="1"/>
    <row r="67" ht="90.0" customHeight="1"/>
    <row r="68" ht="90.0" customHeight="1"/>
    <row r="69" ht="90.0" customHeight="1"/>
    <row r="70" ht="90.0" customHeight="1"/>
    <row r="71" ht="90.0" customHeight="1"/>
    <row r="72" ht="90.0" customHeight="1"/>
    <row r="73" ht="90.0" customHeight="1"/>
    <row r="74" ht="90.0" customHeight="1"/>
    <row r="75" ht="90.0" customHeight="1"/>
    <row r="76" ht="90.0" customHeight="1"/>
    <row r="77" ht="90.0" customHeight="1"/>
    <row r="78" ht="90.0" customHeight="1"/>
    <row r="79" ht="90.0" customHeight="1"/>
    <row r="80" ht="90.0" customHeight="1"/>
    <row r="81" ht="90.0" customHeight="1"/>
    <row r="82" ht="90.0" customHeight="1"/>
    <row r="83" ht="90.0" customHeight="1"/>
    <row r="84" ht="90.0" customHeight="1"/>
    <row r="85" ht="90.0" customHeight="1"/>
    <row r="86" ht="90.0" customHeight="1"/>
    <row r="87" ht="90.0" customHeight="1"/>
    <row r="88" ht="90.0" customHeight="1"/>
    <row r="89" ht="90.0" customHeight="1"/>
    <row r="90" ht="90.0" customHeight="1"/>
    <row r="91" ht="90.0" customHeight="1"/>
    <row r="92" ht="90.0" customHeight="1"/>
    <row r="93" ht="90.0" customHeight="1"/>
    <row r="94" ht="90.0" customHeight="1"/>
    <row r="95" ht="90.0" customHeight="1"/>
    <row r="96" ht="90.0" customHeight="1"/>
    <row r="97" ht="90.0" customHeight="1"/>
    <row r="98" ht="90.0" customHeight="1"/>
    <row r="99" ht="90.0" customHeight="1"/>
    <row r="100" ht="90.0" customHeight="1"/>
    <row r="101" ht="90.0" customHeight="1"/>
    <row r="102" ht="90.0" customHeight="1"/>
    <row r="103" ht="90.0" customHeight="1"/>
    <row r="104" ht="90.0" customHeight="1"/>
    <row r="105" ht="90.0" customHeight="1"/>
    <row r="106" ht="90.0" customHeight="1"/>
    <row r="107" ht="90.0" customHeight="1"/>
    <row r="108" ht="90.0" customHeight="1"/>
    <row r="109" ht="90.0" customHeight="1"/>
    <row r="110" ht="90.0" customHeight="1"/>
    <row r="111" ht="90.0" customHeight="1"/>
    <row r="112" ht="90.0" customHeight="1"/>
    <row r="113" ht="90.0" customHeight="1"/>
    <row r="114" ht="90.0" customHeight="1"/>
    <row r="115" ht="90.0" customHeight="1"/>
    <row r="116" ht="90.0" customHeight="1"/>
    <row r="117" ht="90.0" customHeight="1"/>
    <row r="118" ht="90.0" customHeight="1"/>
    <row r="119" ht="90.0" customHeight="1"/>
    <row r="120" ht="90.0" customHeight="1"/>
    <row r="121" ht="90.0" customHeight="1"/>
    <row r="122" ht="90.0" customHeight="1"/>
    <row r="123" ht="90.0" customHeight="1"/>
    <row r="124" ht="90.0" customHeight="1"/>
    <row r="125" ht="90.0" customHeight="1"/>
    <row r="126" ht="90.0" customHeight="1"/>
    <row r="127" ht="90.0" customHeight="1"/>
    <row r="128" ht="90.0" customHeight="1"/>
    <row r="129" ht="90.0" customHeight="1"/>
    <row r="130" ht="90.0" customHeight="1"/>
    <row r="131" ht="90.0" customHeight="1"/>
    <row r="132" ht="90.0" customHeight="1"/>
    <row r="133" ht="90.0" customHeight="1"/>
    <row r="134" ht="90.0" customHeight="1"/>
    <row r="135" ht="90.0" customHeight="1"/>
    <row r="136" ht="90.0" customHeight="1"/>
    <row r="137" ht="90.0" customHeight="1"/>
    <row r="138" ht="90.0" customHeight="1"/>
    <row r="139" ht="90.0" customHeight="1"/>
    <row r="140" ht="90.0" customHeight="1"/>
    <row r="141" ht="90.0" customHeight="1"/>
    <row r="142" ht="90.0" customHeight="1"/>
    <row r="143" ht="90.0" customHeight="1"/>
    <row r="144" ht="90.0" customHeight="1"/>
    <row r="145" ht="90.0" customHeight="1"/>
    <row r="146" ht="90.0" customHeight="1"/>
    <row r="147" ht="90.0" customHeight="1"/>
    <row r="148" ht="90.0" customHeight="1"/>
    <row r="149" ht="90.0" customHeight="1"/>
    <row r="150" ht="90.0" customHeight="1"/>
    <row r="151" ht="90.0" customHeight="1"/>
    <row r="152" ht="90.0" customHeight="1"/>
    <row r="153" ht="90.0" customHeight="1"/>
    <row r="154" ht="90.0" customHeight="1"/>
    <row r="155" ht="90.0" customHeight="1"/>
    <row r="156" ht="90.0" customHeight="1"/>
    <row r="157" ht="90.0" customHeight="1"/>
    <row r="158" ht="90.0" customHeight="1"/>
    <row r="159" ht="90.0" customHeight="1"/>
    <row r="160" ht="90.0" customHeight="1"/>
    <row r="161" ht="90.0" customHeight="1"/>
    <row r="162" ht="90.0" customHeight="1"/>
    <row r="163" ht="90.0" customHeight="1"/>
    <row r="164" ht="90.0" customHeight="1"/>
    <row r="165" ht="90.0" customHeight="1"/>
    <row r="166" ht="90.0" customHeight="1"/>
    <row r="167" ht="90.0" customHeight="1"/>
    <row r="168" ht="90.0" customHeight="1"/>
    <row r="169" ht="90.0" customHeight="1"/>
    <row r="170" ht="90.0" customHeight="1"/>
    <row r="171" ht="90.0" customHeight="1"/>
    <row r="172" ht="90.0" customHeight="1"/>
    <row r="173" ht="90.0" customHeight="1"/>
    <row r="174" ht="90.0" customHeight="1"/>
    <row r="175" ht="90.0" customHeight="1"/>
    <row r="176" ht="90.0" customHeight="1"/>
    <row r="177" ht="90.0" customHeight="1"/>
    <row r="178" ht="90.0" customHeight="1"/>
    <row r="179" ht="90.0" customHeight="1"/>
    <row r="180" ht="90.0" customHeight="1"/>
    <row r="181" ht="90.0" customHeight="1"/>
    <row r="182" ht="90.0" customHeight="1"/>
    <row r="183" ht="90.0" customHeight="1"/>
    <row r="184" ht="90.0" customHeight="1"/>
    <row r="185" ht="90.0" customHeight="1"/>
    <row r="186" ht="90.0" customHeight="1"/>
    <row r="187" ht="90.0" customHeight="1"/>
    <row r="188" ht="90.0" customHeight="1"/>
    <row r="189" ht="90.0" customHeight="1"/>
    <row r="190" ht="90.0" customHeight="1"/>
    <row r="191" ht="90.0" customHeight="1"/>
    <row r="192" ht="90.0" customHeight="1"/>
    <row r="193" ht="90.0" customHeight="1"/>
    <row r="194" ht="90.0" customHeight="1"/>
    <row r="195" ht="90.0" customHeight="1"/>
    <row r="196" ht="90.0" customHeight="1"/>
    <row r="197" ht="90.0" customHeight="1"/>
    <row r="198" ht="90.0" customHeight="1"/>
    <row r="199" ht="90.0" customHeight="1"/>
    <row r="200" ht="90.0" customHeight="1"/>
    <row r="201" ht="90.0" customHeight="1"/>
    <row r="202" ht="90.0" customHeight="1"/>
    <row r="203" ht="90.0" customHeight="1"/>
    <row r="204" ht="90.0" customHeight="1"/>
    <row r="205" ht="90.0" customHeight="1"/>
    <row r="206" ht="90.0" customHeight="1"/>
    <row r="207" ht="90.0" customHeight="1"/>
    <row r="208" ht="90.0" customHeight="1"/>
    <row r="209" ht="90.0" customHeight="1"/>
    <row r="210" ht="90.0" customHeight="1"/>
    <row r="211" ht="90.0" customHeight="1"/>
    <row r="212" ht="90.0" customHeight="1"/>
    <row r="213" ht="90.0" customHeight="1"/>
    <row r="214" ht="90.0" customHeight="1"/>
    <row r="215" ht="90.0" customHeight="1"/>
    <row r="216" ht="90.0" customHeight="1"/>
    <row r="217" ht="90.0" customHeight="1"/>
    <row r="218" ht="90.0" customHeight="1"/>
    <row r="219" ht="90.0" customHeight="1"/>
    <row r="220" ht="90.0" customHeight="1"/>
    <row r="221" ht="90.0" customHeight="1"/>
    <row r="222" ht="90.0" customHeight="1"/>
    <row r="223" ht="90.0" customHeight="1"/>
    <row r="224" ht="90.0" customHeight="1"/>
    <row r="225" ht="90.0" customHeight="1"/>
    <row r="226" ht="90.0" customHeight="1"/>
    <row r="227" ht="90.0" customHeight="1"/>
    <row r="228" ht="90.0" customHeight="1"/>
    <row r="229" ht="90.0" customHeight="1"/>
    <row r="230" ht="90.0" customHeight="1"/>
    <row r="231" ht="90.0" customHeight="1"/>
    <row r="232" ht="90.0" customHeight="1"/>
    <row r="233" ht="90.0" customHeight="1"/>
    <row r="234" ht="90.0" customHeight="1"/>
    <row r="235" ht="90.0" customHeight="1"/>
    <row r="236" ht="90.0" customHeight="1"/>
    <row r="237" ht="90.0" customHeight="1"/>
    <row r="238" ht="90.0" customHeight="1"/>
    <row r="239" ht="90.0" customHeight="1"/>
    <row r="240" ht="90.0" customHeight="1"/>
    <row r="241" ht="90.0" customHeight="1"/>
    <row r="242" ht="90.0" customHeight="1"/>
    <row r="243" ht="90.0" customHeight="1"/>
    <row r="244" ht="90.0" customHeight="1"/>
    <row r="245" ht="90.0" customHeight="1"/>
    <row r="246" ht="90.0" customHeight="1"/>
    <row r="247" ht="90.0" customHeight="1"/>
    <row r="248" ht="90.0" customHeight="1"/>
    <row r="249" ht="90.0" customHeight="1"/>
    <row r="250" ht="90.0" customHeight="1"/>
    <row r="251" ht="90.0" customHeight="1"/>
    <row r="252" ht="90.0" customHeight="1"/>
    <row r="253" ht="90.0" customHeight="1"/>
    <row r="254" ht="90.0" customHeight="1"/>
    <row r="255" ht="90.0" customHeight="1"/>
    <row r="256" ht="90.0" customHeight="1"/>
    <row r="257" ht="90.0" customHeight="1"/>
    <row r="258" ht="90.0" customHeight="1"/>
    <row r="259" ht="90.0" customHeight="1"/>
    <row r="260" ht="90.0" customHeight="1"/>
    <row r="261" ht="90.0" customHeight="1"/>
    <row r="262" ht="90.0" customHeight="1"/>
    <row r="263" ht="90.0" customHeight="1"/>
    <row r="264" ht="90.0" customHeight="1"/>
    <row r="265" ht="90.0" customHeight="1"/>
    <row r="266" ht="90.0" customHeight="1"/>
    <row r="267" ht="90.0" customHeight="1"/>
    <row r="268" ht="90.0" customHeight="1"/>
    <row r="269" ht="90.0" customHeight="1"/>
    <row r="270" ht="90.0" customHeight="1"/>
    <row r="271" ht="90.0" customHeight="1"/>
    <row r="272" ht="90.0" customHeight="1"/>
    <row r="273" ht="90.0" customHeight="1"/>
    <row r="274" ht="90.0" customHeight="1"/>
    <row r="275" ht="90.0" customHeight="1"/>
    <row r="276" ht="90.0" customHeight="1"/>
    <row r="277" ht="90.0" customHeight="1"/>
    <row r="278" ht="90.0" customHeight="1"/>
    <row r="279" ht="90.0" customHeight="1"/>
    <row r="280" ht="90.0" customHeight="1"/>
    <row r="281" ht="90.0" customHeight="1"/>
    <row r="282" ht="90.0" customHeight="1"/>
    <row r="283" ht="90.0" customHeight="1"/>
    <row r="284" ht="90.0" customHeight="1"/>
    <row r="285" ht="90.0" customHeight="1"/>
    <row r="286" ht="90.0" customHeight="1"/>
    <row r="287" ht="90.0" customHeight="1"/>
    <row r="288" ht="90.0" customHeight="1"/>
    <row r="289" ht="90.0" customHeight="1"/>
    <row r="290" ht="90.0" customHeight="1"/>
    <row r="291" ht="90.0" customHeight="1"/>
    <row r="292" ht="90.0" customHeight="1"/>
    <row r="293" ht="90.0" customHeight="1"/>
    <row r="294" ht="90.0" customHeight="1"/>
    <row r="295" ht="90.0" customHeight="1"/>
    <row r="296" ht="90.0" customHeight="1"/>
    <row r="297" ht="90.0" customHeight="1"/>
    <row r="298" ht="90.0" customHeight="1"/>
    <row r="299" ht="90.0" customHeight="1"/>
    <row r="300" ht="90.0" customHeight="1"/>
    <row r="301" ht="90.0" customHeight="1"/>
    <row r="302" ht="90.0" customHeight="1"/>
    <row r="303" ht="90.0" customHeight="1"/>
    <row r="304" ht="90.0" customHeight="1"/>
    <row r="305" ht="90.0" customHeight="1"/>
    <row r="306" ht="90.0" customHeight="1"/>
    <row r="307" ht="90.0" customHeight="1"/>
    <row r="308" ht="90.0" customHeight="1"/>
    <row r="309" ht="90.0" customHeight="1"/>
    <row r="310" ht="90.0" customHeight="1"/>
    <row r="311" ht="90.0" customHeight="1"/>
    <row r="312" ht="90.0" customHeight="1"/>
    <row r="313" ht="90.0" customHeight="1"/>
    <row r="314" ht="90.0" customHeight="1"/>
    <row r="315" ht="90.0" customHeight="1"/>
    <row r="316" ht="90.0" customHeight="1"/>
    <row r="317" ht="90.0" customHeight="1"/>
    <row r="318" ht="90.0" customHeight="1"/>
    <row r="319" ht="90.0" customHeight="1"/>
    <row r="320" ht="90.0" customHeight="1"/>
    <row r="321" ht="90.0" customHeight="1"/>
    <row r="322" ht="90.0" customHeight="1"/>
    <row r="323" ht="90.0" customHeight="1"/>
    <row r="324" ht="90.0" customHeight="1"/>
    <row r="325" ht="90.0" customHeight="1"/>
    <row r="326" ht="90.0" customHeight="1"/>
    <row r="327" ht="90.0" customHeight="1"/>
    <row r="328" ht="90.0" customHeight="1"/>
    <row r="329" ht="90.0" customHeight="1"/>
    <row r="330" ht="90.0" customHeight="1"/>
    <row r="331" ht="90.0" customHeight="1"/>
    <row r="332" ht="90.0" customHeight="1"/>
    <row r="333" ht="90.0" customHeight="1"/>
    <row r="334" ht="90.0" customHeight="1"/>
    <row r="335" ht="90.0" customHeight="1"/>
    <row r="336" ht="90.0" customHeight="1"/>
    <row r="337" ht="90.0" customHeight="1"/>
    <row r="338" ht="90.0" customHeight="1"/>
    <row r="339" ht="90.0" customHeight="1"/>
    <row r="340" ht="90.0" customHeight="1"/>
    <row r="341" ht="90.0" customHeight="1"/>
    <row r="342" ht="90.0" customHeight="1"/>
    <row r="343" ht="90.0" customHeight="1"/>
    <row r="344" ht="90.0" customHeight="1"/>
    <row r="345" ht="90.0" customHeight="1"/>
    <row r="346" ht="90.0" customHeight="1"/>
    <row r="347" ht="90.0" customHeight="1"/>
    <row r="348" ht="90.0" customHeight="1"/>
    <row r="349" ht="90.0" customHeight="1"/>
    <row r="350" ht="90.0" customHeight="1"/>
    <row r="351" ht="90.0" customHeight="1"/>
    <row r="352" ht="90.0" customHeight="1"/>
    <row r="353" ht="90.0" customHeight="1"/>
    <row r="354" ht="90.0" customHeight="1"/>
    <row r="355" ht="90.0" customHeight="1"/>
    <row r="356" ht="90.0" customHeight="1"/>
    <row r="357" ht="90.0" customHeight="1"/>
    <row r="358" ht="90.0" customHeight="1"/>
    <row r="359" ht="90.0" customHeight="1"/>
    <row r="360" ht="90.0" customHeight="1"/>
    <row r="361" ht="90.0" customHeight="1"/>
    <row r="362" ht="90.0" customHeight="1"/>
    <row r="363" ht="90.0" customHeight="1"/>
    <row r="364" ht="90.0" customHeight="1"/>
    <row r="365" ht="90.0" customHeight="1"/>
    <row r="366" ht="90.0" customHeight="1"/>
    <row r="367" ht="90.0" customHeight="1"/>
    <row r="368" ht="90.0" customHeight="1"/>
    <row r="369" ht="90.0" customHeight="1"/>
    <row r="370" ht="90.0" customHeight="1"/>
    <row r="371" ht="90.0" customHeight="1"/>
    <row r="372" ht="90.0" customHeight="1"/>
    <row r="373" ht="90.0" customHeight="1"/>
    <row r="374" ht="90.0" customHeight="1"/>
    <row r="375" ht="90.0" customHeight="1"/>
    <row r="376" ht="90.0" customHeight="1"/>
    <row r="377" ht="90.0" customHeight="1"/>
    <row r="378" ht="90.0" customHeight="1"/>
    <row r="379" ht="90.0" customHeight="1"/>
    <row r="380" ht="90.0" customHeight="1"/>
    <row r="381" ht="90.0" customHeight="1"/>
    <row r="382" ht="90.0" customHeight="1"/>
    <row r="383" ht="90.0" customHeight="1"/>
    <row r="384" ht="90.0" customHeight="1"/>
    <row r="385" ht="90.0" customHeight="1"/>
    <row r="386" ht="90.0" customHeight="1"/>
    <row r="387" ht="90.0" customHeight="1"/>
    <row r="388" ht="90.0" customHeight="1"/>
    <row r="389" ht="90.0" customHeight="1"/>
    <row r="390" ht="90.0" customHeight="1"/>
    <row r="391" ht="90.0" customHeight="1"/>
    <row r="392" ht="90.0" customHeight="1"/>
    <row r="393" ht="90.0" customHeight="1"/>
    <row r="394" ht="90.0" customHeight="1"/>
    <row r="395" ht="90.0" customHeight="1"/>
    <row r="396" ht="90.0" customHeight="1"/>
    <row r="397" ht="90.0" customHeight="1"/>
    <row r="398" ht="90.0" customHeight="1"/>
    <row r="399" ht="90.0" customHeight="1"/>
    <row r="400" ht="90.0" customHeight="1"/>
    <row r="401" ht="90.0" customHeight="1"/>
    <row r="402" ht="90.0" customHeight="1"/>
    <row r="403" ht="90.0" customHeight="1"/>
    <row r="404" ht="90.0" customHeight="1"/>
    <row r="405" ht="90.0" customHeight="1"/>
    <row r="406" ht="90.0" customHeight="1"/>
    <row r="407" ht="90.0" customHeight="1"/>
    <row r="408" ht="90.0" customHeight="1"/>
    <row r="409" ht="90.0" customHeight="1"/>
    <row r="410" ht="90.0" customHeight="1"/>
    <row r="411" ht="90.0" customHeight="1"/>
    <row r="412" ht="90.0" customHeight="1"/>
    <row r="413" ht="90.0" customHeight="1"/>
    <row r="414" ht="90.0" customHeight="1"/>
    <row r="415" ht="90.0" customHeight="1"/>
    <row r="416" ht="90.0" customHeight="1"/>
    <row r="417" ht="90.0" customHeight="1"/>
    <row r="418" ht="90.0" customHeight="1"/>
    <row r="419" ht="90.0" customHeight="1"/>
    <row r="420" ht="90.0" customHeight="1"/>
    <row r="421" ht="90.0" customHeight="1"/>
    <row r="422" ht="90.0" customHeight="1"/>
    <row r="423" ht="90.0" customHeight="1"/>
    <row r="424" ht="90.0" customHeight="1"/>
    <row r="425" ht="90.0" customHeight="1"/>
    <row r="426" ht="90.0" customHeight="1"/>
    <row r="427" ht="90.0" customHeight="1"/>
    <row r="428" ht="90.0" customHeight="1"/>
    <row r="429" ht="90.0" customHeight="1"/>
    <row r="430" ht="90.0" customHeight="1"/>
    <row r="431" ht="90.0" customHeight="1"/>
    <row r="432" ht="90.0" customHeight="1"/>
    <row r="433" ht="90.0" customHeight="1"/>
    <row r="434" ht="90.0" customHeight="1"/>
    <row r="435" ht="90.0" customHeight="1"/>
    <row r="436" ht="90.0" customHeight="1"/>
    <row r="437" ht="90.0" customHeight="1"/>
    <row r="438" ht="90.0" customHeight="1"/>
    <row r="439" ht="90.0" customHeight="1"/>
    <row r="440" ht="90.0" customHeight="1"/>
    <row r="441" ht="90.0" customHeight="1"/>
    <row r="442" ht="90.0" customHeight="1"/>
    <row r="443" ht="90.0" customHeight="1"/>
    <row r="444" ht="90.0" customHeight="1"/>
    <row r="445" ht="90.0" customHeight="1"/>
    <row r="446" ht="90.0" customHeight="1"/>
    <row r="447" ht="90.0" customHeight="1"/>
    <row r="448" ht="90.0" customHeight="1"/>
    <row r="449" ht="90.0" customHeight="1"/>
    <row r="450" ht="90.0" customHeight="1"/>
    <row r="451" ht="90.0" customHeight="1"/>
    <row r="452" ht="90.0" customHeight="1"/>
    <row r="453" ht="90.0" customHeight="1"/>
    <row r="454" ht="90.0" customHeight="1"/>
    <row r="455" ht="90.0" customHeight="1"/>
    <row r="456" ht="90.0" customHeight="1"/>
    <row r="457" ht="90.0" customHeight="1"/>
    <row r="458" ht="90.0" customHeight="1"/>
    <row r="459" ht="90.0" customHeight="1"/>
    <row r="460" ht="90.0" customHeight="1"/>
    <row r="461" ht="90.0" customHeight="1"/>
    <row r="462" ht="90.0" customHeight="1"/>
    <row r="463" ht="90.0" customHeight="1"/>
    <row r="464" ht="90.0" customHeight="1"/>
    <row r="465" ht="90.0" customHeight="1"/>
    <row r="466" ht="90.0" customHeight="1"/>
    <row r="467" ht="90.0" customHeight="1"/>
    <row r="468" ht="90.0" customHeight="1"/>
    <row r="469" ht="90.0" customHeight="1"/>
    <row r="470" ht="90.0" customHeight="1"/>
    <row r="471" ht="90.0" customHeight="1"/>
    <row r="472" ht="90.0" customHeight="1"/>
    <row r="473" ht="90.0" customHeight="1"/>
    <row r="474" ht="90.0" customHeight="1"/>
    <row r="475" ht="90.0" customHeight="1"/>
    <row r="476" ht="90.0" customHeight="1"/>
    <row r="477" ht="90.0" customHeight="1"/>
    <row r="478" ht="90.0" customHeight="1"/>
    <row r="479" ht="90.0" customHeight="1"/>
    <row r="480" ht="90.0" customHeight="1"/>
    <row r="481" ht="90.0" customHeight="1"/>
    <row r="482" ht="90.0" customHeight="1"/>
    <row r="483" ht="90.0" customHeight="1"/>
    <row r="484" ht="90.0" customHeight="1"/>
    <row r="485" ht="90.0" customHeight="1"/>
    <row r="486" ht="90.0" customHeight="1"/>
    <row r="487" ht="90.0" customHeight="1"/>
    <row r="488" ht="90.0" customHeight="1"/>
    <row r="489" ht="90.0" customHeight="1"/>
    <row r="490" ht="90.0" customHeight="1"/>
    <row r="491" ht="90.0" customHeight="1"/>
    <row r="492" ht="90.0" customHeight="1"/>
    <row r="493" ht="90.0" customHeight="1"/>
    <row r="494" ht="90.0" customHeight="1"/>
    <row r="495" ht="90.0" customHeight="1"/>
    <row r="496" ht="90.0" customHeight="1"/>
    <row r="497" ht="90.0" customHeight="1"/>
    <row r="498" ht="90.0" customHeight="1"/>
    <row r="499" ht="90.0" customHeight="1"/>
    <row r="500" ht="90.0" customHeight="1"/>
    <row r="501" ht="90.0" customHeight="1"/>
    <row r="502" ht="90.0" customHeight="1"/>
    <row r="503" ht="90.0" customHeight="1"/>
    <row r="504" ht="90.0" customHeight="1"/>
    <row r="505" ht="90.0" customHeight="1"/>
    <row r="506" ht="90.0" customHeight="1"/>
    <row r="507" ht="90.0" customHeight="1"/>
    <row r="508" ht="90.0" customHeight="1"/>
    <row r="509" ht="90.0" customHeight="1"/>
    <row r="510" ht="90.0" customHeight="1"/>
    <row r="511" ht="90.0" customHeight="1"/>
    <row r="512" ht="90.0" customHeight="1"/>
    <row r="513" ht="90.0" customHeight="1"/>
    <row r="514" ht="90.0" customHeight="1"/>
    <row r="515" ht="90.0" customHeight="1"/>
    <row r="516" ht="90.0" customHeight="1"/>
    <row r="517" ht="90.0" customHeight="1"/>
    <row r="518" ht="90.0" customHeight="1"/>
    <row r="519" ht="90.0" customHeight="1"/>
    <row r="520" ht="90.0" customHeight="1"/>
    <row r="521" ht="90.0" customHeight="1"/>
    <row r="522" ht="90.0" customHeight="1"/>
    <row r="523" ht="90.0" customHeight="1"/>
    <row r="524" ht="90.0" customHeight="1"/>
    <row r="525" ht="90.0" customHeight="1"/>
    <row r="526" ht="90.0" customHeight="1"/>
    <row r="527" ht="90.0" customHeight="1"/>
    <row r="528" ht="90.0" customHeight="1"/>
    <row r="529" ht="90.0" customHeight="1"/>
    <row r="530" ht="90.0" customHeight="1"/>
    <row r="531" ht="90.0" customHeight="1"/>
    <row r="532" ht="90.0" customHeight="1"/>
    <row r="533" ht="90.0" customHeight="1"/>
    <row r="534" ht="90.0" customHeight="1"/>
    <row r="535" ht="90.0" customHeight="1"/>
    <row r="536" ht="90.0" customHeight="1"/>
    <row r="537" ht="90.0" customHeight="1"/>
    <row r="538" ht="90.0" customHeight="1"/>
    <row r="539" ht="90.0" customHeight="1"/>
    <row r="540" ht="90.0" customHeight="1"/>
    <row r="541" ht="90.0" customHeight="1"/>
    <row r="542" ht="90.0" customHeight="1"/>
    <row r="543" ht="90.0" customHeight="1"/>
    <row r="544" ht="90.0" customHeight="1"/>
    <row r="545" ht="90.0" customHeight="1"/>
    <row r="546" ht="90.0" customHeight="1"/>
    <row r="547" ht="90.0" customHeight="1"/>
    <row r="548" ht="90.0" customHeight="1"/>
    <row r="549" ht="90.0" customHeight="1"/>
    <row r="550" ht="90.0" customHeight="1"/>
    <row r="551" ht="90.0" customHeight="1"/>
    <row r="552" ht="90.0" customHeight="1"/>
    <row r="553" ht="90.0" customHeight="1"/>
    <row r="554" ht="90.0" customHeight="1"/>
    <row r="555" ht="90.0" customHeight="1"/>
    <row r="556" ht="90.0" customHeight="1"/>
    <row r="557" ht="90.0" customHeight="1"/>
    <row r="558" ht="90.0" customHeight="1"/>
    <row r="559" ht="90.0" customHeight="1"/>
    <row r="560" ht="90.0" customHeight="1"/>
    <row r="561" ht="90.0" customHeight="1"/>
    <row r="562" ht="90.0" customHeight="1"/>
    <row r="563" ht="90.0" customHeight="1"/>
    <row r="564" ht="90.0" customHeight="1"/>
    <row r="565" ht="90.0" customHeight="1"/>
    <row r="566" ht="90.0" customHeight="1"/>
    <row r="567" ht="90.0" customHeight="1"/>
    <row r="568" ht="90.0" customHeight="1"/>
    <row r="569" ht="90.0" customHeight="1"/>
    <row r="570" ht="90.0" customHeight="1"/>
    <row r="571" ht="90.0" customHeight="1"/>
    <row r="572" ht="90.0" customHeight="1"/>
    <row r="573" ht="90.0" customHeight="1"/>
    <row r="574" ht="90.0" customHeight="1"/>
    <row r="575" ht="90.0" customHeight="1"/>
    <row r="576" ht="90.0" customHeight="1"/>
    <row r="577" ht="90.0" customHeight="1"/>
    <row r="578" ht="90.0" customHeight="1"/>
    <row r="579" ht="90.0" customHeight="1"/>
    <row r="580" ht="90.0" customHeight="1"/>
    <row r="581" ht="90.0" customHeight="1"/>
    <row r="582" ht="90.0" customHeight="1"/>
    <row r="583" ht="90.0" customHeight="1"/>
    <row r="584" ht="90.0" customHeight="1"/>
    <row r="585" ht="90.0" customHeight="1"/>
    <row r="586" ht="90.0" customHeight="1"/>
    <row r="587" ht="90.0" customHeight="1"/>
    <row r="588" ht="90.0" customHeight="1"/>
    <row r="589" ht="90.0" customHeight="1"/>
    <row r="590" ht="90.0" customHeight="1"/>
    <row r="591" ht="90.0" customHeight="1"/>
    <row r="592" ht="90.0" customHeight="1"/>
    <row r="593" ht="90.0" customHeight="1"/>
    <row r="594" ht="90.0" customHeight="1"/>
    <row r="595" ht="90.0" customHeight="1"/>
    <row r="596" ht="90.0" customHeight="1"/>
    <row r="597" ht="90.0" customHeight="1"/>
    <row r="598" ht="90.0" customHeight="1"/>
    <row r="599" ht="90.0" customHeight="1"/>
    <row r="600" ht="90.0" customHeight="1"/>
    <row r="601" ht="90.0" customHeight="1"/>
    <row r="602" ht="90.0" customHeight="1"/>
    <row r="603" ht="90.0" customHeight="1"/>
    <row r="604" ht="90.0" customHeight="1"/>
    <row r="605" ht="90.0" customHeight="1"/>
    <row r="606" ht="90.0" customHeight="1"/>
    <row r="607" ht="90.0" customHeight="1"/>
    <row r="608" ht="90.0" customHeight="1"/>
    <row r="609" ht="90.0" customHeight="1"/>
    <row r="610" ht="90.0" customHeight="1"/>
    <row r="611" ht="90.0" customHeight="1"/>
    <row r="612" ht="90.0" customHeight="1"/>
    <row r="613" ht="90.0" customHeight="1"/>
    <row r="614" ht="90.0" customHeight="1"/>
    <row r="615" ht="90.0" customHeight="1"/>
    <row r="616" ht="90.0" customHeight="1"/>
    <row r="617" ht="90.0" customHeight="1"/>
    <row r="618" ht="90.0" customHeight="1"/>
    <row r="619" ht="90.0" customHeight="1"/>
    <row r="620" ht="90.0" customHeight="1"/>
    <row r="621" ht="90.0" customHeight="1"/>
    <row r="622" ht="90.0" customHeight="1"/>
    <row r="623" ht="90.0" customHeight="1"/>
    <row r="624" ht="90.0" customHeight="1"/>
    <row r="625" ht="90.0" customHeight="1"/>
    <row r="626" ht="90.0" customHeight="1"/>
    <row r="627" ht="90.0" customHeight="1"/>
    <row r="628" ht="90.0" customHeight="1"/>
    <row r="629" ht="90.0" customHeight="1"/>
    <row r="630" ht="90.0" customHeight="1"/>
    <row r="631" ht="90.0" customHeight="1"/>
    <row r="632" ht="90.0" customHeight="1"/>
    <row r="633" ht="90.0" customHeight="1"/>
    <row r="634" ht="90.0" customHeight="1"/>
    <row r="635" ht="90.0" customHeight="1"/>
    <row r="636" ht="90.0" customHeight="1"/>
    <row r="637" ht="90.0" customHeight="1"/>
    <row r="638" ht="90.0" customHeight="1"/>
    <row r="639" ht="90.0" customHeight="1"/>
    <row r="640" ht="90.0" customHeight="1"/>
    <row r="641" ht="90.0" customHeight="1"/>
    <row r="642" ht="90.0" customHeight="1"/>
    <row r="643" ht="90.0" customHeight="1"/>
    <row r="644" ht="90.0" customHeight="1"/>
    <row r="645" ht="90.0" customHeight="1"/>
    <row r="646" ht="90.0" customHeight="1"/>
    <row r="647" ht="90.0" customHeight="1"/>
    <row r="648" ht="90.0" customHeight="1"/>
    <row r="649" ht="90.0" customHeight="1"/>
    <row r="650" ht="90.0" customHeight="1"/>
    <row r="651" ht="90.0" customHeight="1"/>
    <row r="652" ht="90.0" customHeight="1"/>
    <row r="653" ht="90.0" customHeight="1"/>
    <row r="654" ht="90.0" customHeight="1"/>
    <row r="655" ht="90.0" customHeight="1"/>
    <row r="656" ht="90.0" customHeight="1"/>
    <row r="657" ht="90.0" customHeight="1"/>
    <row r="658" ht="90.0" customHeight="1"/>
    <row r="659" ht="90.0" customHeight="1"/>
    <row r="660" ht="90.0" customHeight="1"/>
    <row r="661" ht="90.0" customHeight="1"/>
    <row r="662" ht="90.0" customHeight="1"/>
    <row r="663" ht="90.0" customHeight="1"/>
    <row r="664" ht="90.0" customHeight="1"/>
    <row r="665" ht="90.0" customHeight="1"/>
    <row r="666" ht="90.0" customHeight="1"/>
    <row r="667" ht="90.0" customHeight="1"/>
    <row r="668" ht="90.0" customHeight="1"/>
    <row r="669" ht="90.0" customHeight="1"/>
    <row r="670" ht="90.0" customHeight="1"/>
    <row r="671" ht="90.0" customHeight="1"/>
    <row r="672" ht="90.0" customHeight="1"/>
    <row r="673" ht="90.0" customHeight="1"/>
    <row r="674" ht="90.0" customHeight="1"/>
    <row r="675" ht="90.0" customHeight="1"/>
    <row r="676" ht="90.0" customHeight="1"/>
    <row r="677" ht="90.0" customHeight="1"/>
    <row r="678" ht="90.0" customHeight="1"/>
    <row r="679" ht="90.0" customHeight="1"/>
    <row r="680" ht="90.0" customHeight="1"/>
    <row r="681" ht="90.0" customHeight="1"/>
    <row r="682" ht="90.0" customHeight="1"/>
    <row r="683" ht="90.0" customHeight="1"/>
    <row r="684" ht="90.0" customHeight="1"/>
    <row r="685" ht="90.0" customHeight="1"/>
    <row r="686" ht="90.0" customHeight="1"/>
    <row r="687" ht="90.0" customHeight="1"/>
    <row r="688" ht="90.0" customHeight="1"/>
    <row r="689" ht="90.0" customHeight="1"/>
    <row r="690" ht="90.0" customHeight="1"/>
    <row r="691" ht="90.0" customHeight="1"/>
    <row r="692" ht="90.0" customHeight="1"/>
    <row r="693" ht="90.0" customHeight="1"/>
    <row r="694" ht="90.0" customHeight="1"/>
    <row r="695" ht="90.0" customHeight="1"/>
    <row r="696" ht="90.0" customHeight="1"/>
    <row r="697" ht="90.0" customHeight="1"/>
    <row r="698" ht="90.0" customHeight="1"/>
    <row r="699" ht="90.0" customHeight="1"/>
    <row r="700" ht="90.0" customHeight="1"/>
    <row r="701" ht="90.0" customHeight="1"/>
    <row r="702" ht="90.0" customHeight="1"/>
    <row r="703" ht="90.0" customHeight="1"/>
    <row r="704" ht="90.0" customHeight="1"/>
    <row r="705" ht="90.0" customHeight="1"/>
    <row r="706" ht="90.0" customHeight="1"/>
    <row r="707" ht="90.0" customHeight="1"/>
    <row r="708" ht="90.0" customHeight="1"/>
    <row r="709" ht="90.0" customHeight="1"/>
    <row r="710" ht="90.0" customHeight="1"/>
    <row r="711" ht="90.0" customHeight="1"/>
    <row r="712" ht="90.0" customHeight="1"/>
    <row r="713" ht="90.0" customHeight="1"/>
    <row r="714" ht="90.0" customHeight="1"/>
    <row r="715" ht="90.0" customHeight="1"/>
    <row r="716" ht="90.0" customHeight="1"/>
    <row r="717" ht="90.0" customHeight="1"/>
    <row r="718" ht="90.0" customHeight="1"/>
    <row r="719" ht="90.0" customHeight="1"/>
    <row r="720" ht="90.0" customHeight="1"/>
    <row r="721" ht="90.0" customHeight="1"/>
    <row r="722" ht="90.0" customHeight="1"/>
    <row r="723" ht="90.0" customHeight="1"/>
    <row r="724" ht="90.0" customHeight="1"/>
    <row r="725" ht="90.0" customHeight="1"/>
    <row r="726" ht="90.0" customHeight="1"/>
    <row r="727" ht="90.0" customHeight="1"/>
    <row r="728" ht="90.0" customHeight="1"/>
    <row r="729" ht="90.0" customHeight="1"/>
    <row r="730" ht="90.0" customHeight="1"/>
    <row r="731" ht="90.0" customHeight="1"/>
    <row r="732" ht="90.0" customHeight="1"/>
    <row r="733" ht="90.0" customHeight="1"/>
    <row r="734" ht="90.0" customHeight="1"/>
    <row r="735" ht="90.0" customHeight="1"/>
    <row r="736" ht="90.0" customHeight="1"/>
    <row r="737" ht="90.0" customHeight="1"/>
    <row r="738" ht="90.0" customHeight="1"/>
    <row r="739" ht="90.0" customHeight="1"/>
    <row r="740" ht="90.0" customHeight="1"/>
    <row r="741" ht="90.0" customHeight="1"/>
    <row r="742" ht="90.0" customHeight="1"/>
    <row r="743" ht="90.0" customHeight="1"/>
    <row r="744" ht="90.0" customHeight="1"/>
    <row r="745" ht="90.0" customHeight="1"/>
    <row r="746" ht="90.0" customHeight="1"/>
    <row r="747" ht="90.0" customHeight="1"/>
    <row r="748" ht="90.0" customHeight="1"/>
    <row r="749" ht="90.0" customHeight="1"/>
    <row r="750" ht="90.0" customHeight="1"/>
    <row r="751" ht="90.0" customHeight="1"/>
    <row r="752" ht="90.0" customHeight="1"/>
    <row r="753" ht="90.0" customHeight="1"/>
    <row r="754" ht="90.0" customHeight="1"/>
    <row r="755" ht="90.0" customHeight="1"/>
    <row r="756" ht="90.0" customHeight="1"/>
    <row r="757" ht="90.0" customHeight="1"/>
    <row r="758" ht="90.0" customHeight="1"/>
    <row r="759" ht="90.0" customHeight="1"/>
    <row r="760" ht="90.0" customHeight="1"/>
    <row r="761" ht="90.0" customHeight="1"/>
    <row r="762" ht="90.0" customHeight="1"/>
    <row r="763" ht="90.0" customHeight="1"/>
    <row r="764" ht="90.0" customHeight="1"/>
    <row r="765" ht="90.0" customHeight="1"/>
    <row r="766" ht="90.0" customHeight="1"/>
    <row r="767" ht="90.0" customHeight="1"/>
    <row r="768" ht="90.0" customHeight="1"/>
    <row r="769" ht="90.0" customHeight="1"/>
    <row r="770" ht="90.0" customHeight="1"/>
    <row r="771" ht="90.0" customHeight="1"/>
    <row r="772" ht="90.0" customHeight="1"/>
    <row r="773" ht="90.0" customHeight="1"/>
    <row r="774" ht="90.0" customHeight="1"/>
    <row r="775" ht="90.0" customHeight="1"/>
    <row r="776" ht="90.0" customHeight="1"/>
    <row r="777" ht="90.0" customHeight="1"/>
    <row r="778" ht="90.0" customHeight="1"/>
    <row r="779" ht="90.0" customHeight="1"/>
    <row r="780" ht="90.0" customHeight="1"/>
    <row r="781" ht="90.0" customHeight="1"/>
    <row r="782" ht="90.0" customHeight="1"/>
    <row r="783" ht="90.0" customHeight="1"/>
    <row r="784" ht="90.0" customHeight="1"/>
    <row r="785" ht="90.0" customHeight="1"/>
    <row r="786" ht="90.0" customHeight="1"/>
    <row r="787" ht="90.0" customHeight="1"/>
    <row r="788" ht="90.0" customHeight="1"/>
    <row r="789" ht="90.0" customHeight="1"/>
    <row r="790" ht="90.0" customHeight="1"/>
    <row r="791" ht="90.0" customHeight="1"/>
    <row r="792" ht="90.0" customHeight="1"/>
    <row r="793" ht="90.0" customHeight="1"/>
    <row r="794" ht="90.0" customHeight="1"/>
    <row r="795" ht="90.0" customHeight="1"/>
    <row r="796" ht="90.0" customHeight="1"/>
    <row r="797" ht="90.0" customHeight="1"/>
    <row r="798" ht="90.0" customHeight="1"/>
    <row r="799" ht="90.0" customHeight="1"/>
    <row r="800" ht="90.0" customHeight="1"/>
    <row r="801" ht="90.0" customHeight="1"/>
    <row r="802" ht="90.0" customHeight="1"/>
    <row r="803" ht="90.0" customHeight="1"/>
    <row r="804" ht="90.0" customHeight="1"/>
    <row r="805" ht="90.0" customHeight="1"/>
    <row r="806" ht="90.0" customHeight="1"/>
    <row r="807" ht="90.0" customHeight="1"/>
    <row r="808" ht="90.0" customHeight="1"/>
    <row r="809" ht="90.0" customHeight="1"/>
    <row r="810" ht="90.0" customHeight="1"/>
    <row r="811" ht="90.0" customHeight="1"/>
    <row r="812" ht="90.0" customHeight="1"/>
    <row r="813" ht="90.0" customHeight="1"/>
    <row r="814" ht="90.0" customHeight="1"/>
    <row r="815" ht="90.0" customHeight="1"/>
    <row r="816" ht="90.0" customHeight="1"/>
    <row r="817" ht="90.0" customHeight="1"/>
    <row r="818" ht="90.0" customHeight="1"/>
    <row r="819" ht="90.0" customHeight="1"/>
    <row r="820" ht="90.0" customHeight="1"/>
    <row r="821" ht="90.0" customHeight="1"/>
    <row r="822" ht="90.0" customHeight="1"/>
    <row r="823" ht="90.0" customHeight="1"/>
    <row r="824" ht="90.0" customHeight="1"/>
    <row r="825" ht="90.0" customHeight="1"/>
    <row r="826" ht="90.0" customHeight="1"/>
    <row r="827" ht="90.0" customHeight="1"/>
    <row r="828" ht="90.0" customHeight="1"/>
    <row r="829" ht="90.0" customHeight="1"/>
    <row r="830" ht="90.0" customHeight="1"/>
    <row r="831" ht="90.0" customHeight="1"/>
    <row r="832" ht="90.0" customHeight="1"/>
    <row r="833" ht="90.0" customHeight="1"/>
    <row r="834" ht="90.0" customHeight="1"/>
    <row r="835" ht="90.0" customHeight="1"/>
    <row r="836" ht="90.0" customHeight="1"/>
    <row r="837" ht="90.0" customHeight="1"/>
    <row r="838" ht="90.0" customHeight="1"/>
    <row r="839" ht="90.0" customHeight="1"/>
    <row r="840" ht="90.0" customHeight="1"/>
    <row r="841" ht="90.0" customHeight="1"/>
    <row r="842" ht="90.0" customHeight="1"/>
    <row r="843" ht="90.0" customHeight="1"/>
    <row r="844" ht="90.0" customHeight="1"/>
    <row r="845" ht="90.0" customHeight="1"/>
    <row r="846" ht="90.0" customHeight="1"/>
    <row r="847" ht="90.0" customHeight="1"/>
    <row r="848" ht="90.0" customHeight="1"/>
    <row r="849" ht="90.0" customHeight="1"/>
    <row r="850" ht="90.0" customHeight="1"/>
    <row r="851" ht="90.0" customHeight="1"/>
    <row r="852" ht="90.0" customHeight="1"/>
    <row r="853" ht="90.0" customHeight="1"/>
    <row r="854" ht="90.0" customHeight="1"/>
    <row r="855" ht="90.0" customHeight="1"/>
    <row r="856" ht="90.0" customHeight="1"/>
    <row r="857" ht="90.0" customHeight="1"/>
    <row r="858" ht="90.0" customHeight="1"/>
    <row r="859" ht="90.0" customHeight="1"/>
    <row r="860" ht="90.0" customHeight="1"/>
    <row r="861" ht="90.0" customHeight="1"/>
    <row r="862" ht="90.0" customHeight="1"/>
    <row r="863" ht="90.0" customHeight="1"/>
    <row r="864" ht="90.0" customHeight="1"/>
    <row r="865" ht="90.0" customHeight="1"/>
    <row r="866" ht="90.0" customHeight="1"/>
    <row r="867" ht="90.0" customHeight="1"/>
    <row r="868" ht="90.0" customHeight="1"/>
    <row r="869" ht="90.0" customHeight="1"/>
    <row r="870" ht="90.0" customHeight="1"/>
    <row r="871" ht="90.0" customHeight="1"/>
    <row r="872" ht="90.0" customHeight="1"/>
    <row r="873" ht="90.0" customHeight="1"/>
    <row r="874" ht="90.0" customHeight="1"/>
    <row r="875" ht="90.0" customHeight="1"/>
    <row r="876" ht="90.0" customHeight="1"/>
    <row r="877" ht="90.0" customHeight="1"/>
    <row r="878" ht="90.0" customHeight="1"/>
    <row r="879" ht="90.0" customHeight="1"/>
    <row r="880" ht="90.0" customHeight="1"/>
    <row r="881" ht="90.0" customHeight="1"/>
    <row r="882" ht="90.0" customHeight="1"/>
    <row r="883" ht="90.0" customHeight="1"/>
    <row r="884" ht="90.0" customHeight="1"/>
    <row r="885" ht="90.0" customHeight="1"/>
    <row r="886" ht="90.0" customHeight="1"/>
    <row r="887" ht="90.0" customHeight="1"/>
    <row r="888" ht="90.0" customHeight="1"/>
    <row r="889" ht="90.0" customHeight="1"/>
    <row r="890" ht="90.0" customHeight="1"/>
    <row r="891" ht="90.0" customHeight="1"/>
    <row r="892" ht="90.0" customHeight="1"/>
    <row r="893" ht="90.0" customHeight="1"/>
    <row r="894" ht="90.0" customHeight="1"/>
    <row r="895" ht="90.0" customHeight="1"/>
    <row r="896" ht="90.0" customHeight="1"/>
    <row r="897" ht="90.0" customHeight="1"/>
    <row r="898" ht="90.0" customHeight="1"/>
    <row r="899" ht="90.0" customHeight="1"/>
    <row r="900" ht="90.0" customHeight="1"/>
    <row r="901" ht="90.0" customHeight="1"/>
    <row r="902" ht="90.0" customHeight="1"/>
    <row r="903" ht="90.0" customHeight="1"/>
    <row r="904" ht="90.0" customHeight="1"/>
    <row r="905" ht="90.0" customHeight="1"/>
    <row r="906" ht="90.0" customHeight="1"/>
    <row r="907" ht="90.0" customHeight="1"/>
    <row r="908" ht="90.0" customHeight="1"/>
    <row r="909" ht="90.0" customHeight="1"/>
    <row r="910" ht="90.0" customHeight="1"/>
    <row r="911" ht="90.0" customHeight="1"/>
    <row r="912" ht="90.0" customHeight="1"/>
    <row r="913" ht="90.0" customHeight="1"/>
    <row r="914" ht="90.0" customHeight="1"/>
    <row r="915" ht="90.0" customHeight="1"/>
    <row r="916" ht="90.0" customHeight="1"/>
    <row r="917" ht="90.0" customHeight="1"/>
    <row r="918" ht="90.0" customHeight="1"/>
    <row r="919" ht="90.0" customHeight="1"/>
    <row r="920" ht="90.0" customHeight="1"/>
    <row r="921" ht="90.0" customHeight="1"/>
    <row r="922" ht="90.0" customHeight="1"/>
    <row r="923" ht="90.0" customHeight="1"/>
    <row r="924" ht="90.0" customHeight="1"/>
    <row r="925" ht="90.0" customHeight="1"/>
    <row r="926" ht="90.0" customHeight="1"/>
    <row r="927" ht="90.0" customHeight="1"/>
    <row r="928" ht="90.0" customHeight="1"/>
    <row r="929" ht="90.0" customHeight="1"/>
    <row r="930" ht="90.0" customHeight="1"/>
    <row r="931" ht="90.0" customHeight="1"/>
    <row r="932" ht="90.0" customHeight="1"/>
    <row r="933" ht="90.0" customHeight="1"/>
    <row r="934" ht="90.0" customHeight="1"/>
    <row r="935" ht="90.0" customHeight="1"/>
    <row r="936" ht="90.0" customHeight="1"/>
    <row r="937" ht="90.0" customHeight="1"/>
    <row r="938" ht="90.0" customHeight="1"/>
    <row r="939" ht="90.0" customHeight="1"/>
    <row r="940" ht="90.0" customHeight="1"/>
    <row r="941" ht="90.0" customHeight="1"/>
    <row r="942" ht="90.0" customHeight="1"/>
    <row r="943" ht="90.0" customHeight="1"/>
    <row r="944" ht="90.0" customHeight="1"/>
    <row r="945" ht="90.0" customHeight="1"/>
    <row r="946" ht="90.0" customHeight="1"/>
    <row r="947" ht="90.0" customHeight="1"/>
    <row r="948" ht="90.0" customHeight="1"/>
    <row r="949" ht="90.0" customHeight="1"/>
    <row r="950" ht="90.0" customHeight="1"/>
    <row r="951" ht="90.0" customHeight="1"/>
    <row r="952" ht="90.0" customHeight="1"/>
    <row r="953" ht="90.0" customHeight="1"/>
    <row r="954" ht="90.0" customHeight="1"/>
    <row r="955" ht="90.0" customHeight="1"/>
    <row r="956" ht="90.0" customHeight="1"/>
    <row r="957" ht="90.0" customHeight="1"/>
    <row r="958" ht="90.0" customHeight="1"/>
    <row r="959" ht="90.0" customHeight="1"/>
    <row r="960" ht="90.0" customHeight="1"/>
    <row r="961" ht="90.0" customHeight="1"/>
    <row r="962" ht="90.0" customHeight="1"/>
    <row r="963" ht="90.0" customHeight="1"/>
    <row r="964" ht="90.0" customHeight="1"/>
    <row r="965" ht="90.0" customHeight="1"/>
    <row r="966" ht="90.0" customHeight="1"/>
    <row r="967" ht="90.0" customHeight="1"/>
    <row r="968" ht="90.0" customHeight="1"/>
    <row r="969" ht="90.0" customHeight="1"/>
    <row r="970" ht="90.0" customHeight="1"/>
    <row r="971" ht="90.0" customHeight="1"/>
    <row r="972" ht="90.0" customHeight="1"/>
    <row r="973" ht="90.0" customHeight="1"/>
    <row r="974" ht="90.0" customHeight="1"/>
    <row r="975" ht="90.0" customHeight="1"/>
    <row r="976" ht="90.0" customHeight="1"/>
    <row r="977" ht="90.0" customHeight="1"/>
    <row r="978" ht="90.0" customHeight="1"/>
    <row r="979" ht="90.0" customHeight="1"/>
    <row r="980" ht="90.0" customHeight="1"/>
    <row r="981" ht="90.0" customHeight="1"/>
    <row r="982" ht="90.0" customHeight="1"/>
    <row r="983" ht="90.0" customHeight="1"/>
    <row r="984" ht="90.0" customHeight="1"/>
    <row r="985" ht="90.0" customHeight="1"/>
    <row r="986" ht="90.0" customHeight="1"/>
    <row r="987" ht="90.0" customHeight="1"/>
    <row r="988" ht="90.0" customHeight="1"/>
    <row r="989" ht="90.0" customHeight="1"/>
    <row r="990" ht="90.0" customHeight="1"/>
    <row r="991" ht="90.0" customHeight="1"/>
    <row r="992" ht="90.0" customHeight="1"/>
    <row r="993" ht="90.0" customHeight="1"/>
    <row r="994" ht="90.0" customHeight="1"/>
    <row r="995" ht="90.0" customHeight="1"/>
    <row r="996" ht="90.0" customHeight="1"/>
    <row r="997" ht="90.0" customHeight="1"/>
    <row r="998" ht="90.0" customHeight="1"/>
    <row r="999" ht="90.0" customHeight="1"/>
    <row r="1000" ht="90.0" customHeight="1"/>
    <row r="1001" ht="90.0" customHeight="1"/>
    <row r="1002" ht="90.0" customHeight="1"/>
    <row r="1003" ht="90.0" customHeight="1"/>
    <row r="1004" ht="90.0" customHeight="1"/>
    <row r="1005" ht="90.0" customHeight="1"/>
    <row r="1006" ht="90.0" customHeight="1"/>
    <row r="1007" ht="90.0" customHeight="1"/>
    <row r="1008" ht="90.0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161</v>
      </c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4" t="s">
        <v>39</v>
      </c>
      <c r="K1" s="24" t="s">
        <v>40</v>
      </c>
      <c r="L1" s="24" t="s">
        <v>41</v>
      </c>
      <c r="M1" s="24" t="s">
        <v>42</v>
      </c>
      <c r="N1" s="24" t="s">
        <v>43</v>
      </c>
      <c r="O1" s="24" t="s">
        <v>44</v>
      </c>
      <c r="P1" s="24" t="s">
        <v>45</v>
      </c>
      <c r="Q1" s="24" t="s">
        <v>46</v>
      </c>
      <c r="R1" s="24" t="s">
        <v>47</v>
      </c>
      <c r="S1" s="24" t="s">
        <v>48</v>
      </c>
      <c r="T1" s="24" t="s">
        <v>49</v>
      </c>
    </row>
    <row r="2">
      <c r="A2" s="25"/>
      <c r="B2" s="24" t="s">
        <v>279</v>
      </c>
      <c r="C2" s="24" t="s">
        <v>280</v>
      </c>
      <c r="D2" s="24">
        <v>1.0E7</v>
      </c>
      <c r="E2" s="24">
        <v>250000.0</v>
      </c>
      <c r="F2" s="24">
        <v>2800.0</v>
      </c>
      <c r="G2" s="24">
        <v>50.0</v>
      </c>
      <c r="H2" s="24">
        <f>48*F2</f>
        <v>134400</v>
      </c>
      <c r="I2" s="25">
        <f t="shared" ref="I2:I7" si="2">5*F2</f>
        <v>14000</v>
      </c>
      <c r="J2" s="25">
        <f t="shared" ref="J2:J4" si="3">45.5*45.5*35.5/1000000/30*D2</f>
        <v>24497.95833</v>
      </c>
      <c r="L2" s="24">
        <v>6000.0</v>
      </c>
      <c r="M2" s="25">
        <f t="shared" ref="M2:M7" si="4">H2+I2+J2+L2</f>
        <v>178897.9583</v>
      </c>
      <c r="O2" s="24">
        <f t="shared" ref="O2:P2" si="1">2*M2/100</f>
        <v>3577.959167</v>
      </c>
      <c r="P2" s="24">
        <f t="shared" si="1"/>
        <v>0</v>
      </c>
      <c r="Q2" s="24">
        <v>70000.0</v>
      </c>
      <c r="R2" s="25">
        <f t="shared" ref="R2:R7" si="6">M2+Q2</f>
        <v>248897.9583</v>
      </c>
    </row>
    <row r="3">
      <c r="A3" s="25"/>
      <c r="B3" s="24" t="s">
        <v>279</v>
      </c>
      <c r="C3" s="24" t="s">
        <v>280</v>
      </c>
      <c r="D3" s="24">
        <v>1.0E7</v>
      </c>
      <c r="E3" s="24">
        <v>250000.0</v>
      </c>
      <c r="F3" s="24">
        <v>2800.0</v>
      </c>
      <c r="G3" s="24">
        <v>100.0</v>
      </c>
      <c r="H3" s="24">
        <f>47*F3</f>
        <v>131600</v>
      </c>
      <c r="I3" s="25">
        <f t="shared" si="2"/>
        <v>14000</v>
      </c>
      <c r="J3" s="25">
        <f t="shared" si="3"/>
        <v>24497.95833</v>
      </c>
      <c r="L3" s="24">
        <v>6000.0</v>
      </c>
      <c r="M3" s="25">
        <f t="shared" si="4"/>
        <v>176097.9583</v>
      </c>
      <c r="O3" s="24">
        <f t="shared" ref="O3:P3" si="5">2*M3/100</f>
        <v>3521.959167</v>
      </c>
      <c r="P3" s="24">
        <f t="shared" si="5"/>
        <v>0</v>
      </c>
      <c r="Q3" s="24">
        <v>70000.0</v>
      </c>
      <c r="R3" s="25">
        <f t="shared" si="6"/>
        <v>246097.9583</v>
      </c>
    </row>
    <row r="4">
      <c r="A4" s="25"/>
      <c r="B4" s="24" t="s">
        <v>279</v>
      </c>
      <c r="C4" s="24" t="s">
        <v>280</v>
      </c>
      <c r="D4" s="24">
        <v>1.0E7</v>
      </c>
      <c r="E4" s="24">
        <v>250000.0</v>
      </c>
      <c r="F4" s="24">
        <v>2800.0</v>
      </c>
      <c r="G4" s="24">
        <v>150.0</v>
      </c>
      <c r="H4" s="24">
        <f>46*F4</f>
        <v>128800</v>
      </c>
      <c r="I4" s="25">
        <f t="shared" si="2"/>
        <v>14000</v>
      </c>
      <c r="J4" s="25">
        <f t="shared" si="3"/>
        <v>24497.95833</v>
      </c>
      <c r="L4" s="24">
        <v>6000.0</v>
      </c>
      <c r="M4" s="25">
        <f t="shared" si="4"/>
        <v>173297.9583</v>
      </c>
      <c r="O4" s="24">
        <f t="shared" ref="O4:P4" si="7">2*M4/100</f>
        <v>3465.959167</v>
      </c>
      <c r="P4" s="24">
        <f t="shared" si="7"/>
        <v>0</v>
      </c>
      <c r="Q4" s="24">
        <v>70000.0</v>
      </c>
      <c r="R4" s="25">
        <f t="shared" si="6"/>
        <v>243297.9583</v>
      </c>
    </row>
    <row r="5">
      <c r="A5" s="25"/>
      <c r="B5" s="24" t="s">
        <v>281</v>
      </c>
      <c r="C5" s="24" t="s">
        <v>280</v>
      </c>
      <c r="D5" s="24">
        <v>1.0E7</v>
      </c>
      <c r="E5" s="24">
        <v>250000.0</v>
      </c>
      <c r="F5" s="24">
        <v>2800.0</v>
      </c>
      <c r="G5" s="24">
        <v>50.0</v>
      </c>
      <c r="H5" s="24">
        <f>132*F5</f>
        <v>369600</v>
      </c>
      <c r="I5" s="25">
        <f t="shared" si="2"/>
        <v>14000</v>
      </c>
      <c r="J5" s="25">
        <f t="shared" ref="J5:J7" si="8">55*34*28/1000000/18*D5</f>
        <v>29088.88889</v>
      </c>
      <c r="L5" s="24">
        <v>6000.0</v>
      </c>
      <c r="M5" s="25">
        <f t="shared" si="4"/>
        <v>418688.8889</v>
      </c>
      <c r="O5" s="24">
        <f t="shared" ref="O5:O7" si="9">2*M5/100</f>
        <v>8373.777778</v>
      </c>
      <c r="Q5" s="24">
        <v>70000.0</v>
      </c>
      <c r="R5" s="25">
        <f t="shared" si="6"/>
        <v>488688.8889</v>
      </c>
    </row>
    <row r="6">
      <c r="A6" s="25"/>
      <c r="B6" s="24" t="s">
        <v>281</v>
      </c>
      <c r="C6" s="24" t="s">
        <v>280</v>
      </c>
      <c r="D6" s="24">
        <v>1.0E7</v>
      </c>
      <c r="E6" s="24">
        <v>250000.0</v>
      </c>
      <c r="F6" s="24">
        <v>2800.0</v>
      </c>
      <c r="G6" s="24">
        <v>100.0</v>
      </c>
      <c r="H6" s="24">
        <f>131*F6</f>
        <v>366800</v>
      </c>
      <c r="I6" s="25">
        <f t="shared" si="2"/>
        <v>14000</v>
      </c>
      <c r="J6" s="25">
        <f t="shared" si="8"/>
        <v>29088.88889</v>
      </c>
      <c r="L6" s="24">
        <v>6000.0</v>
      </c>
      <c r="M6" s="25">
        <f t="shared" si="4"/>
        <v>415888.8889</v>
      </c>
      <c r="O6" s="24">
        <f t="shared" si="9"/>
        <v>8317.777778</v>
      </c>
      <c r="Q6" s="24">
        <v>70000.0</v>
      </c>
      <c r="R6" s="25">
        <f t="shared" si="6"/>
        <v>485888.8889</v>
      </c>
    </row>
    <row r="7">
      <c r="A7" s="25"/>
      <c r="B7" s="24" t="s">
        <v>281</v>
      </c>
      <c r="C7" s="24" t="s">
        <v>280</v>
      </c>
      <c r="D7" s="24">
        <v>1.0E7</v>
      </c>
      <c r="E7" s="24">
        <v>250000.0</v>
      </c>
      <c r="F7" s="24">
        <v>2800.0</v>
      </c>
      <c r="G7" s="24">
        <v>150.0</v>
      </c>
      <c r="H7" s="24">
        <f>130*F7</f>
        <v>364000</v>
      </c>
      <c r="I7" s="25">
        <f t="shared" si="2"/>
        <v>14000</v>
      </c>
      <c r="J7" s="25">
        <f t="shared" si="8"/>
        <v>29088.88889</v>
      </c>
      <c r="L7" s="24">
        <v>6000.0</v>
      </c>
      <c r="M7" s="25">
        <f t="shared" si="4"/>
        <v>413088.8889</v>
      </c>
      <c r="O7" s="24">
        <f t="shared" si="9"/>
        <v>8261.777778</v>
      </c>
      <c r="Q7" s="24">
        <v>70000.0</v>
      </c>
      <c r="R7" s="25">
        <f t="shared" si="6"/>
        <v>483088.8889</v>
      </c>
    </row>
    <row r="8">
      <c r="A8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24" t="s">
        <v>31</v>
      </c>
      <c r="C1" s="24" t="s">
        <v>32</v>
      </c>
      <c r="D1" s="24" t="s">
        <v>282</v>
      </c>
      <c r="E1" s="24" t="s">
        <v>36</v>
      </c>
      <c r="F1" s="24" t="s">
        <v>283</v>
      </c>
      <c r="G1" s="24" t="s">
        <v>284</v>
      </c>
      <c r="H1" s="24" t="s">
        <v>285</v>
      </c>
      <c r="I1" s="24" t="s">
        <v>286</v>
      </c>
      <c r="J1" s="24" t="s">
        <v>287</v>
      </c>
      <c r="K1" s="24" t="s">
        <v>288</v>
      </c>
      <c r="L1" s="24" t="s">
        <v>289</v>
      </c>
      <c r="M1" s="24" t="s">
        <v>290</v>
      </c>
      <c r="N1" s="39">
        <v>0.01</v>
      </c>
      <c r="O1" s="24" t="s">
        <v>46</v>
      </c>
      <c r="P1" s="24" t="s">
        <v>291</v>
      </c>
      <c r="Q1" s="24" t="s">
        <v>49</v>
      </c>
    </row>
    <row r="2" ht="90.0" customHeight="1">
      <c r="A2" s="31"/>
      <c r="C2" s="24" t="s">
        <v>292</v>
      </c>
      <c r="D2" s="29" t="s">
        <v>293</v>
      </c>
      <c r="F2" s="24">
        <v>50000.0</v>
      </c>
      <c r="G2" s="24">
        <v>2000.0</v>
      </c>
      <c r="H2" s="24">
        <v>20000.0</v>
      </c>
      <c r="I2" s="24">
        <v>10000.0</v>
      </c>
      <c r="J2" s="24">
        <v>2000.0</v>
      </c>
      <c r="K2" s="24">
        <v>5000.0</v>
      </c>
      <c r="L2" s="24">
        <v>2000.0</v>
      </c>
      <c r="M2" s="24">
        <v>2000.0</v>
      </c>
      <c r="N2" s="25">
        <f t="shared" ref="N2:N41" si="1">sum(F2:M2)*2/100</f>
        <v>1860</v>
      </c>
      <c r="O2" s="24">
        <v>15000.0</v>
      </c>
      <c r="P2" s="25">
        <f t="shared" ref="P2:P41" si="2">SUM(F2:O2)</f>
        <v>109860</v>
      </c>
    </row>
    <row r="3" ht="90.0" customHeight="1">
      <c r="A3" s="31"/>
      <c r="C3" s="24" t="s">
        <v>292</v>
      </c>
      <c r="D3" s="29" t="s">
        <v>294</v>
      </c>
      <c r="F3" s="24">
        <v>40000.0</v>
      </c>
      <c r="G3" s="24">
        <v>2000.0</v>
      </c>
      <c r="H3" s="24">
        <v>20000.0</v>
      </c>
      <c r="I3" s="24">
        <v>10000.0</v>
      </c>
      <c r="J3" s="24">
        <v>2000.0</v>
      </c>
      <c r="K3" s="24">
        <v>5000.0</v>
      </c>
      <c r="L3" s="24">
        <v>2000.0</v>
      </c>
      <c r="M3" s="24">
        <v>2000.0</v>
      </c>
      <c r="N3" s="25">
        <f t="shared" si="1"/>
        <v>1660</v>
      </c>
      <c r="O3" s="24">
        <v>15000.0</v>
      </c>
      <c r="P3" s="25">
        <f t="shared" si="2"/>
        <v>99660</v>
      </c>
    </row>
    <row r="4" ht="90.0" customHeight="1">
      <c r="A4" s="31"/>
      <c r="C4" s="24" t="s">
        <v>292</v>
      </c>
      <c r="D4" s="29" t="s">
        <v>295</v>
      </c>
      <c r="F4" s="24">
        <v>57000.0</v>
      </c>
      <c r="G4" s="24">
        <v>2000.0</v>
      </c>
      <c r="H4" s="24">
        <v>20000.0</v>
      </c>
      <c r="I4" s="24">
        <v>10000.0</v>
      </c>
      <c r="J4" s="24">
        <v>2000.0</v>
      </c>
      <c r="K4" s="24">
        <v>5000.0</v>
      </c>
      <c r="L4" s="24">
        <v>2000.0</v>
      </c>
      <c r="M4" s="24">
        <v>2000.0</v>
      </c>
      <c r="N4" s="25">
        <f t="shared" si="1"/>
        <v>2000</v>
      </c>
      <c r="O4" s="24">
        <v>15000.0</v>
      </c>
      <c r="P4" s="25">
        <f t="shared" si="2"/>
        <v>117000</v>
      </c>
    </row>
    <row r="5" ht="90.0" customHeight="1">
      <c r="A5" s="31"/>
      <c r="C5" s="24" t="s">
        <v>292</v>
      </c>
      <c r="D5" s="29" t="s">
        <v>296</v>
      </c>
      <c r="F5" s="24">
        <v>62000.0</v>
      </c>
      <c r="G5" s="24">
        <v>2000.0</v>
      </c>
      <c r="H5" s="24">
        <v>20000.0</v>
      </c>
      <c r="I5" s="24">
        <v>10000.0</v>
      </c>
      <c r="J5" s="24">
        <v>2000.0</v>
      </c>
      <c r="K5" s="24">
        <v>5000.0</v>
      </c>
      <c r="L5" s="24">
        <v>2000.0</v>
      </c>
      <c r="M5" s="24">
        <v>2000.0</v>
      </c>
      <c r="N5" s="25">
        <f t="shared" si="1"/>
        <v>2100</v>
      </c>
      <c r="O5" s="24">
        <v>15000.0</v>
      </c>
      <c r="P5" s="25">
        <f t="shared" si="2"/>
        <v>122100</v>
      </c>
    </row>
    <row r="6" ht="90.0" customHeight="1">
      <c r="A6" s="31"/>
      <c r="C6" s="24" t="s">
        <v>292</v>
      </c>
      <c r="D6" s="29" t="s">
        <v>297</v>
      </c>
      <c r="F6" s="24">
        <v>60000.0</v>
      </c>
      <c r="G6" s="24">
        <v>2000.0</v>
      </c>
      <c r="H6" s="24">
        <v>20000.0</v>
      </c>
      <c r="I6" s="24">
        <v>10000.0</v>
      </c>
      <c r="J6" s="24">
        <v>2000.0</v>
      </c>
      <c r="K6" s="24">
        <v>5000.0</v>
      </c>
      <c r="L6" s="24">
        <v>2000.0</v>
      </c>
      <c r="M6" s="24">
        <v>2000.0</v>
      </c>
      <c r="N6" s="25">
        <f t="shared" si="1"/>
        <v>2060</v>
      </c>
      <c r="O6" s="24">
        <v>15000.0</v>
      </c>
      <c r="P6" s="25">
        <f t="shared" si="2"/>
        <v>120060</v>
      </c>
    </row>
    <row r="7" ht="90.0" customHeight="1">
      <c r="A7" s="31"/>
      <c r="C7" s="24" t="s">
        <v>292</v>
      </c>
      <c r="D7" s="29" t="s">
        <v>298</v>
      </c>
      <c r="F7" s="24">
        <v>40000.0</v>
      </c>
      <c r="G7" s="24">
        <v>2000.0</v>
      </c>
      <c r="H7" s="24">
        <v>20000.0</v>
      </c>
      <c r="I7" s="24">
        <v>10000.0</v>
      </c>
      <c r="J7" s="24">
        <v>2000.0</v>
      </c>
      <c r="K7" s="24">
        <v>5000.0</v>
      </c>
      <c r="L7" s="24">
        <v>2000.0</v>
      </c>
      <c r="M7" s="24">
        <v>2000.0</v>
      </c>
      <c r="N7" s="25">
        <f t="shared" si="1"/>
        <v>1660</v>
      </c>
      <c r="O7" s="24">
        <v>15000.0</v>
      </c>
      <c r="P7" s="25">
        <f t="shared" si="2"/>
        <v>99660</v>
      </c>
    </row>
    <row r="8" ht="90.0" customHeight="1">
      <c r="A8" s="25"/>
      <c r="B8" s="24" t="s">
        <v>79</v>
      </c>
      <c r="D8" s="29" t="s">
        <v>299</v>
      </c>
      <c r="E8" s="24">
        <v>300.0</v>
      </c>
      <c r="F8" s="24">
        <v>7000.0</v>
      </c>
      <c r="G8" s="24">
        <v>1000.0</v>
      </c>
      <c r="M8" s="24">
        <v>1000.0</v>
      </c>
      <c r="N8" s="25">
        <f t="shared" si="1"/>
        <v>180</v>
      </c>
      <c r="O8" s="24">
        <v>5000.0</v>
      </c>
      <c r="P8" s="25">
        <f t="shared" si="2"/>
        <v>14180</v>
      </c>
      <c r="Q8" s="24" t="s">
        <v>300</v>
      </c>
    </row>
    <row r="9" ht="90.0" customHeight="1">
      <c r="A9" s="25"/>
      <c r="B9" s="24" t="s">
        <v>79</v>
      </c>
      <c r="D9" s="29" t="s">
        <v>299</v>
      </c>
      <c r="E9" s="24">
        <v>500.0</v>
      </c>
      <c r="F9" s="24">
        <v>5000.0</v>
      </c>
      <c r="G9" s="24">
        <v>1000.0</v>
      </c>
      <c r="M9" s="24">
        <v>1000.0</v>
      </c>
      <c r="N9" s="25">
        <f t="shared" si="1"/>
        <v>140</v>
      </c>
      <c r="O9" s="24">
        <v>5000.0</v>
      </c>
      <c r="P9" s="25">
        <f t="shared" si="2"/>
        <v>12140</v>
      </c>
      <c r="Q9" s="24" t="s">
        <v>300</v>
      </c>
    </row>
    <row r="10" ht="37.5" customHeight="1">
      <c r="A10" s="25"/>
      <c r="B10" s="24" t="s">
        <v>301</v>
      </c>
      <c r="C10" s="24" t="s">
        <v>302</v>
      </c>
      <c r="E10" s="24">
        <v>200.0</v>
      </c>
      <c r="F10" s="24">
        <v>56500.0</v>
      </c>
      <c r="G10" s="24">
        <v>10000.0</v>
      </c>
      <c r="I10" s="24">
        <v>10000.0</v>
      </c>
      <c r="K10" s="24">
        <v>5000.0</v>
      </c>
      <c r="M10" s="24">
        <v>5000.0</v>
      </c>
      <c r="N10" s="25">
        <f t="shared" si="1"/>
        <v>1730</v>
      </c>
      <c r="O10" s="24">
        <v>20000.0</v>
      </c>
      <c r="P10" s="25">
        <f t="shared" si="2"/>
        <v>108230</v>
      </c>
      <c r="Q10" s="24" t="s">
        <v>303</v>
      </c>
    </row>
    <row r="11" ht="37.5" customHeight="1">
      <c r="A11" s="25"/>
      <c r="B11" s="24" t="s">
        <v>304</v>
      </c>
      <c r="C11" s="24" t="s">
        <v>302</v>
      </c>
      <c r="E11" s="24">
        <v>200.0</v>
      </c>
      <c r="F11" s="24">
        <v>45000.0</v>
      </c>
      <c r="G11" s="24">
        <v>10000.0</v>
      </c>
      <c r="I11" s="24">
        <v>10000.0</v>
      </c>
      <c r="K11" s="24">
        <v>5000.0</v>
      </c>
      <c r="M11" s="24">
        <v>5000.0</v>
      </c>
      <c r="N11" s="25">
        <f t="shared" si="1"/>
        <v>1500</v>
      </c>
      <c r="O11" s="24">
        <v>20000.0</v>
      </c>
      <c r="P11" s="25">
        <f t="shared" si="2"/>
        <v>96500</v>
      </c>
      <c r="Q11" s="24" t="s">
        <v>305</v>
      </c>
    </row>
    <row r="12" ht="37.5" customHeight="1">
      <c r="A12" s="25"/>
      <c r="B12" s="24" t="s">
        <v>306</v>
      </c>
      <c r="C12" s="24" t="s">
        <v>302</v>
      </c>
      <c r="E12" s="24">
        <v>200.0</v>
      </c>
      <c r="F12" s="24">
        <v>33000.0</v>
      </c>
      <c r="G12" s="24">
        <v>10000.0</v>
      </c>
      <c r="I12" s="24">
        <v>10000.0</v>
      </c>
      <c r="K12" s="24">
        <v>5000.0</v>
      </c>
      <c r="M12" s="24">
        <v>8000.0</v>
      </c>
      <c r="N12" s="25">
        <f t="shared" si="1"/>
        <v>1320</v>
      </c>
      <c r="O12" s="24">
        <v>20000.0</v>
      </c>
      <c r="P12" s="25">
        <f t="shared" si="2"/>
        <v>87320</v>
      </c>
      <c r="Q12" s="24" t="s">
        <v>307</v>
      </c>
    </row>
    <row r="13" ht="37.5" customHeight="1">
      <c r="A13" s="25"/>
      <c r="B13" s="24" t="s">
        <v>308</v>
      </c>
      <c r="D13" s="29" t="s">
        <v>309</v>
      </c>
      <c r="F13" s="24">
        <v>14000.0</v>
      </c>
      <c r="G13" s="24">
        <v>1500.0</v>
      </c>
      <c r="I13" s="24">
        <v>2000.0</v>
      </c>
      <c r="J13" s="24">
        <v>1500.0</v>
      </c>
      <c r="L13" s="24">
        <v>1000.0</v>
      </c>
      <c r="M13" s="24">
        <v>2000.0</v>
      </c>
      <c r="N13" s="25">
        <f t="shared" si="1"/>
        <v>440</v>
      </c>
      <c r="O13" s="24">
        <v>2000.0</v>
      </c>
      <c r="P13" s="25">
        <f t="shared" si="2"/>
        <v>24440</v>
      </c>
      <c r="Q13" s="24" t="s">
        <v>310</v>
      </c>
    </row>
    <row r="14" ht="37.5" customHeight="1">
      <c r="A14" s="25"/>
      <c r="B14" s="24" t="s">
        <v>311</v>
      </c>
      <c r="D14" s="29" t="s">
        <v>312</v>
      </c>
      <c r="F14" s="24">
        <v>58000.0</v>
      </c>
      <c r="G14" s="24">
        <v>1500.0</v>
      </c>
      <c r="I14" s="24">
        <v>10000.0</v>
      </c>
      <c r="J14" s="24">
        <v>1500.0</v>
      </c>
      <c r="K14" s="24">
        <v>10000.0</v>
      </c>
      <c r="L14" s="24">
        <v>1000.0</v>
      </c>
      <c r="M14" s="24">
        <v>2000.0</v>
      </c>
      <c r="N14" s="25">
        <f t="shared" si="1"/>
        <v>1680</v>
      </c>
      <c r="O14" s="24">
        <v>20000.0</v>
      </c>
      <c r="P14" s="25">
        <f t="shared" si="2"/>
        <v>105680</v>
      </c>
      <c r="Q14" s="24" t="s">
        <v>313</v>
      </c>
    </row>
    <row r="15" ht="37.5" customHeight="1">
      <c r="A15" s="25"/>
      <c r="B15" s="24" t="s">
        <v>314</v>
      </c>
      <c r="D15" s="29" t="s">
        <v>315</v>
      </c>
      <c r="F15" s="24">
        <v>50000.0</v>
      </c>
      <c r="G15" s="24">
        <v>1500.0</v>
      </c>
      <c r="I15" s="24">
        <v>10000.0</v>
      </c>
      <c r="J15" s="24">
        <v>1500.0</v>
      </c>
      <c r="K15" s="24">
        <v>10000.0</v>
      </c>
      <c r="L15" s="24">
        <v>1000.0</v>
      </c>
      <c r="M15" s="24">
        <v>2000.0</v>
      </c>
      <c r="N15" s="25">
        <f t="shared" si="1"/>
        <v>1520</v>
      </c>
      <c r="O15" s="24">
        <v>20000.0</v>
      </c>
      <c r="P15" s="25">
        <f t="shared" si="2"/>
        <v>97520</v>
      </c>
      <c r="Q15" s="24" t="s">
        <v>316</v>
      </c>
    </row>
    <row r="16" ht="37.5" customHeight="1">
      <c r="A16" s="25"/>
      <c r="B16" s="24" t="s">
        <v>317</v>
      </c>
      <c r="D16" s="29" t="s">
        <v>318</v>
      </c>
      <c r="F16" s="24">
        <v>60000.0</v>
      </c>
      <c r="G16" s="24">
        <v>1500.0</v>
      </c>
      <c r="I16" s="24">
        <v>10000.0</v>
      </c>
      <c r="J16" s="24">
        <v>1500.0</v>
      </c>
      <c r="K16" s="24">
        <v>10000.0</v>
      </c>
      <c r="L16" s="24">
        <v>1000.0</v>
      </c>
      <c r="M16" s="24">
        <v>2000.0</v>
      </c>
      <c r="N16" s="25">
        <f t="shared" si="1"/>
        <v>1720</v>
      </c>
      <c r="O16" s="24">
        <v>20000.0</v>
      </c>
      <c r="P16" s="25">
        <f t="shared" si="2"/>
        <v>107720</v>
      </c>
      <c r="Q16" s="24" t="s">
        <v>319</v>
      </c>
    </row>
    <row r="17" ht="37.5" customHeight="1">
      <c r="A17" s="25"/>
      <c r="B17" s="24" t="s">
        <v>320</v>
      </c>
      <c r="D17" s="29" t="s">
        <v>321</v>
      </c>
      <c r="F17" s="24">
        <v>53000.0</v>
      </c>
      <c r="G17" s="24">
        <v>1500.0</v>
      </c>
      <c r="I17" s="24">
        <v>10000.0</v>
      </c>
      <c r="J17" s="24">
        <v>1500.0</v>
      </c>
      <c r="K17" s="24">
        <v>10000.0</v>
      </c>
      <c r="L17" s="24">
        <v>1000.0</v>
      </c>
      <c r="M17" s="24">
        <v>2000.0</v>
      </c>
      <c r="N17" s="25">
        <f t="shared" si="1"/>
        <v>1580</v>
      </c>
      <c r="O17" s="24">
        <v>20000.0</v>
      </c>
      <c r="P17" s="25">
        <f t="shared" si="2"/>
        <v>100580</v>
      </c>
      <c r="Q17" s="24" t="s">
        <v>322</v>
      </c>
    </row>
    <row r="18" ht="37.5" customHeight="1">
      <c r="A18" s="25"/>
      <c r="B18" s="24" t="s">
        <v>323</v>
      </c>
      <c r="D18" s="29" t="s">
        <v>324</v>
      </c>
      <c r="F18" s="24">
        <v>63000.0</v>
      </c>
      <c r="G18" s="24">
        <v>1500.0</v>
      </c>
      <c r="I18" s="24">
        <v>10000.0</v>
      </c>
      <c r="J18" s="24">
        <v>1500.0</v>
      </c>
      <c r="K18" s="24">
        <v>10000.0</v>
      </c>
      <c r="L18" s="24">
        <v>1000.0</v>
      </c>
      <c r="M18" s="24">
        <v>2000.0</v>
      </c>
      <c r="N18" s="25">
        <f t="shared" si="1"/>
        <v>1780</v>
      </c>
      <c r="O18" s="24">
        <v>20000.0</v>
      </c>
      <c r="P18" s="25">
        <f t="shared" si="2"/>
        <v>110780</v>
      </c>
      <c r="Q18" s="24" t="s">
        <v>325</v>
      </c>
    </row>
    <row r="19" ht="37.5" customHeight="1">
      <c r="A19" s="25"/>
      <c r="B19" s="24" t="s">
        <v>326</v>
      </c>
      <c r="D19" s="29" t="s">
        <v>327</v>
      </c>
      <c r="F19" s="24">
        <v>67000.0</v>
      </c>
      <c r="G19" s="24">
        <v>1500.0</v>
      </c>
      <c r="I19" s="24">
        <v>10000.0</v>
      </c>
      <c r="J19" s="24">
        <v>1500.0</v>
      </c>
      <c r="K19" s="24">
        <v>10000.0</v>
      </c>
      <c r="L19" s="24">
        <v>1000.0</v>
      </c>
      <c r="M19" s="24">
        <v>2000.0</v>
      </c>
      <c r="N19" s="25">
        <f t="shared" si="1"/>
        <v>1860</v>
      </c>
      <c r="O19" s="24">
        <v>20000.0</v>
      </c>
      <c r="P19" s="25">
        <f t="shared" si="2"/>
        <v>114860</v>
      </c>
      <c r="Q19" s="24" t="s">
        <v>328</v>
      </c>
    </row>
    <row r="20" ht="37.5" customHeight="1">
      <c r="A20" s="25"/>
      <c r="B20" s="24" t="s">
        <v>329</v>
      </c>
      <c r="D20" s="29" t="s">
        <v>330</v>
      </c>
      <c r="E20" s="24">
        <v>150.0</v>
      </c>
      <c r="F20" s="24">
        <v>25000.0</v>
      </c>
      <c r="G20" s="24">
        <v>1000.0</v>
      </c>
      <c r="J20" s="24">
        <v>1000.0</v>
      </c>
      <c r="K20" s="24">
        <v>1000.0</v>
      </c>
      <c r="L20" s="24">
        <v>1000.0</v>
      </c>
      <c r="M20" s="24">
        <v>1000.0</v>
      </c>
      <c r="N20" s="25">
        <f t="shared" si="1"/>
        <v>600</v>
      </c>
      <c r="O20" s="24">
        <v>7000.0</v>
      </c>
      <c r="P20" s="25">
        <f t="shared" si="2"/>
        <v>37600</v>
      </c>
    </row>
    <row r="21" ht="37.5" customHeight="1">
      <c r="A21" s="25"/>
      <c r="B21" s="24" t="s">
        <v>331</v>
      </c>
      <c r="D21" s="29" t="s">
        <v>332</v>
      </c>
      <c r="E21" s="24">
        <v>3.0</v>
      </c>
      <c r="F21" s="24">
        <v>100000.0</v>
      </c>
      <c r="G21" s="24">
        <v>5000.0</v>
      </c>
      <c r="K21" s="24">
        <v>1000.0</v>
      </c>
      <c r="L21" s="24">
        <v>1000.0</v>
      </c>
      <c r="M21" s="24">
        <v>5000.0</v>
      </c>
      <c r="N21" s="25">
        <f t="shared" si="1"/>
        <v>2240</v>
      </c>
      <c r="O21" s="24">
        <v>25000.0</v>
      </c>
      <c r="P21" s="25">
        <f t="shared" si="2"/>
        <v>139240</v>
      </c>
    </row>
    <row r="22" ht="37.5" customHeight="1">
      <c r="A22" s="25"/>
      <c r="B22" s="24" t="s">
        <v>333</v>
      </c>
      <c r="D22" s="29" t="s">
        <v>334</v>
      </c>
      <c r="E22" s="24">
        <v>300.0</v>
      </c>
      <c r="F22" s="24">
        <v>130000.0</v>
      </c>
      <c r="G22" s="24">
        <v>5000.0</v>
      </c>
      <c r="I22" s="24">
        <v>10000.0</v>
      </c>
      <c r="J22" s="24">
        <v>2500.0</v>
      </c>
      <c r="K22" s="24">
        <v>15000.0</v>
      </c>
      <c r="L22" s="24">
        <v>2000.0</v>
      </c>
      <c r="M22" s="24">
        <v>2500.0</v>
      </c>
      <c r="N22" s="25">
        <f t="shared" si="1"/>
        <v>3340</v>
      </c>
      <c r="O22" s="24">
        <v>30000.0</v>
      </c>
      <c r="P22" s="25">
        <f t="shared" si="2"/>
        <v>200340</v>
      </c>
      <c r="Q22" s="24" t="s">
        <v>335</v>
      </c>
    </row>
    <row r="23" ht="37.5" customHeight="1">
      <c r="A23" s="25"/>
      <c r="B23" s="24" t="s">
        <v>336</v>
      </c>
      <c r="D23" s="29" t="s">
        <v>337</v>
      </c>
      <c r="E23" s="24">
        <v>300.0</v>
      </c>
      <c r="F23" s="24">
        <v>130000.0</v>
      </c>
      <c r="G23" s="24">
        <v>5000.0</v>
      </c>
      <c r="I23" s="24">
        <v>10000.0</v>
      </c>
      <c r="J23" s="24">
        <v>2500.0</v>
      </c>
      <c r="K23" s="24">
        <v>15000.0</v>
      </c>
      <c r="L23" s="24">
        <v>2000.0</v>
      </c>
      <c r="M23" s="24">
        <v>2500.0</v>
      </c>
      <c r="N23" s="25">
        <f t="shared" si="1"/>
        <v>3340</v>
      </c>
      <c r="O23" s="24">
        <v>30000.0</v>
      </c>
      <c r="P23" s="25">
        <f t="shared" si="2"/>
        <v>200340</v>
      </c>
      <c r="Q23" s="24" t="s">
        <v>338</v>
      </c>
    </row>
    <row r="24" ht="37.5" customHeight="1">
      <c r="A24" s="25"/>
      <c r="B24" s="24" t="s">
        <v>339</v>
      </c>
      <c r="D24" s="29" t="s">
        <v>340</v>
      </c>
      <c r="E24" s="24">
        <v>300.0</v>
      </c>
      <c r="F24" s="24">
        <v>130000.0</v>
      </c>
      <c r="G24" s="24">
        <v>5000.0</v>
      </c>
      <c r="I24" s="24">
        <v>10000.0</v>
      </c>
      <c r="J24" s="24">
        <v>2500.0</v>
      </c>
      <c r="K24" s="24">
        <v>15000.0</v>
      </c>
      <c r="L24" s="24">
        <v>2000.0</v>
      </c>
      <c r="M24" s="24">
        <v>2500.0</v>
      </c>
      <c r="N24" s="25">
        <f t="shared" si="1"/>
        <v>3340</v>
      </c>
      <c r="O24" s="24">
        <v>30000.0</v>
      </c>
      <c r="P24" s="25">
        <f t="shared" si="2"/>
        <v>200340</v>
      </c>
      <c r="Q24" s="24" t="s">
        <v>341</v>
      </c>
    </row>
    <row r="25" ht="37.5" customHeight="1">
      <c r="A25" s="25"/>
      <c r="B25" s="24" t="s">
        <v>342</v>
      </c>
      <c r="D25" s="29" t="s">
        <v>343</v>
      </c>
      <c r="E25" s="24">
        <v>300.0</v>
      </c>
      <c r="F25" s="24">
        <v>130000.0</v>
      </c>
      <c r="G25" s="24">
        <v>5000.0</v>
      </c>
      <c r="I25" s="24">
        <v>10000.0</v>
      </c>
      <c r="J25" s="24">
        <v>2500.0</v>
      </c>
      <c r="K25" s="24">
        <v>15000.0</v>
      </c>
      <c r="L25" s="24">
        <v>2000.0</v>
      </c>
      <c r="M25" s="24">
        <v>2500.0</v>
      </c>
      <c r="N25" s="25">
        <f t="shared" si="1"/>
        <v>3340</v>
      </c>
      <c r="O25" s="24">
        <v>30000.0</v>
      </c>
      <c r="P25" s="25">
        <f t="shared" si="2"/>
        <v>200340</v>
      </c>
      <c r="Q25" s="24" t="s">
        <v>344</v>
      </c>
    </row>
    <row r="26" ht="37.5" customHeight="1">
      <c r="A26" s="25"/>
      <c r="B26" s="24" t="s">
        <v>345</v>
      </c>
      <c r="D26" s="29" t="s">
        <v>346</v>
      </c>
      <c r="E26" s="24">
        <v>300.0</v>
      </c>
      <c r="F26" s="24">
        <v>130000.0</v>
      </c>
      <c r="G26" s="24">
        <v>5000.0</v>
      </c>
      <c r="I26" s="24">
        <v>10000.0</v>
      </c>
      <c r="J26" s="24">
        <v>2500.0</v>
      </c>
      <c r="K26" s="24">
        <v>15000.0</v>
      </c>
      <c r="L26" s="24">
        <v>2000.0</v>
      </c>
      <c r="M26" s="24">
        <v>2500.0</v>
      </c>
      <c r="N26" s="25">
        <f t="shared" si="1"/>
        <v>3340</v>
      </c>
      <c r="O26" s="24">
        <v>30000.0</v>
      </c>
      <c r="P26" s="25">
        <f t="shared" si="2"/>
        <v>200340</v>
      </c>
      <c r="Q26" s="24" t="s">
        <v>347</v>
      </c>
    </row>
    <row r="27" ht="37.5" customHeight="1">
      <c r="A27" s="25"/>
      <c r="B27" s="24" t="s">
        <v>348</v>
      </c>
      <c r="D27" s="29" t="s">
        <v>349</v>
      </c>
      <c r="E27" s="24">
        <v>130.0</v>
      </c>
      <c r="F27" s="24">
        <v>400000.0</v>
      </c>
      <c r="G27" s="24">
        <v>5000.0</v>
      </c>
      <c r="K27" s="24">
        <v>15000.0</v>
      </c>
      <c r="L27" s="24">
        <v>2000.0</v>
      </c>
      <c r="M27" s="24">
        <v>2500.0</v>
      </c>
      <c r="N27" s="25">
        <f t="shared" si="1"/>
        <v>8490</v>
      </c>
      <c r="O27" s="24">
        <v>50000.0</v>
      </c>
      <c r="P27" s="25">
        <f t="shared" si="2"/>
        <v>482990</v>
      </c>
      <c r="Q27" s="24" t="s">
        <v>350</v>
      </c>
    </row>
    <row r="28" ht="37.5" customHeight="1">
      <c r="A28" s="25"/>
      <c r="B28" s="24" t="s">
        <v>351</v>
      </c>
      <c r="D28" s="29" t="s">
        <v>352</v>
      </c>
      <c r="E28" s="24">
        <v>130.0</v>
      </c>
      <c r="F28" s="24">
        <v>220000.0</v>
      </c>
      <c r="G28" s="24">
        <v>5000.0</v>
      </c>
      <c r="K28" s="24">
        <v>15000.0</v>
      </c>
      <c r="L28" s="24">
        <v>2000.0</v>
      </c>
      <c r="M28" s="24">
        <v>2500.0</v>
      </c>
      <c r="N28" s="25">
        <f t="shared" si="1"/>
        <v>4890</v>
      </c>
      <c r="O28" s="24">
        <v>50000.0</v>
      </c>
      <c r="P28" s="25">
        <f t="shared" si="2"/>
        <v>299390</v>
      </c>
      <c r="Q28" s="24" t="s">
        <v>353</v>
      </c>
    </row>
    <row r="29" ht="37.5" customHeight="1">
      <c r="A29" s="25"/>
      <c r="B29" s="24" t="s">
        <v>354</v>
      </c>
      <c r="C29" s="24" t="s">
        <v>355</v>
      </c>
      <c r="E29" s="24">
        <v>200.0</v>
      </c>
      <c r="F29" s="24">
        <v>40000.0</v>
      </c>
      <c r="G29" s="24">
        <v>2000.0</v>
      </c>
      <c r="K29" s="24">
        <v>5000.0</v>
      </c>
      <c r="L29" s="24">
        <v>2000.0</v>
      </c>
      <c r="M29" s="24">
        <v>2000.0</v>
      </c>
      <c r="N29" s="25">
        <f t="shared" si="1"/>
        <v>1020</v>
      </c>
      <c r="O29" s="24">
        <v>15000.0</v>
      </c>
      <c r="P29" s="25">
        <f t="shared" si="2"/>
        <v>67020</v>
      </c>
    </row>
    <row r="30" ht="37.5" customHeight="1">
      <c r="A30" s="25"/>
      <c r="B30" s="24" t="s">
        <v>356</v>
      </c>
      <c r="C30" s="24" t="s">
        <v>355</v>
      </c>
      <c r="E30" s="24">
        <v>200.0</v>
      </c>
      <c r="F30" s="24">
        <v>48000.0</v>
      </c>
      <c r="G30" s="24">
        <v>2000.0</v>
      </c>
      <c r="K30" s="24">
        <v>5000.0</v>
      </c>
      <c r="L30" s="24">
        <v>2000.0</v>
      </c>
      <c r="M30" s="24">
        <v>2000.0</v>
      </c>
      <c r="N30" s="25">
        <f t="shared" si="1"/>
        <v>1180</v>
      </c>
      <c r="O30" s="24">
        <v>15000.0</v>
      </c>
      <c r="P30" s="25">
        <f t="shared" si="2"/>
        <v>75180</v>
      </c>
    </row>
    <row r="31" ht="37.5" customHeight="1">
      <c r="B31" s="24" t="s">
        <v>357</v>
      </c>
      <c r="C31" s="24" t="s">
        <v>355</v>
      </c>
      <c r="E31" s="24">
        <v>200.0</v>
      </c>
      <c r="F31" s="24">
        <v>60000.0</v>
      </c>
      <c r="G31" s="24">
        <v>2000.0</v>
      </c>
      <c r="K31" s="24">
        <v>5000.0</v>
      </c>
      <c r="L31" s="24">
        <v>2000.0</v>
      </c>
      <c r="M31" s="24">
        <v>2000.0</v>
      </c>
      <c r="N31" s="25">
        <f t="shared" si="1"/>
        <v>1420</v>
      </c>
      <c r="O31" s="24">
        <v>15000.0</v>
      </c>
      <c r="P31" s="25">
        <f t="shared" si="2"/>
        <v>87420</v>
      </c>
    </row>
    <row r="32" ht="37.5" customHeight="1">
      <c r="B32" s="24" t="s">
        <v>358</v>
      </c>
      <c r="C32" s="24" t="s">
        <v>355</v>
      </c>
      <c r="E32" s="24">
        <v>200.0</v>
      </c>
      <c r="F32" s="24">
        <v>70000.0</v>
      </c>
      <c r="G32" s="24">
        <v>2000.0</v>
      </c>
      <c r="K32" s="24">
        <v>5000.0</v>
      </c>
      <c r="L32" s="24">
        <v>2000.0</v>
      </c>
      <c r="M32" s="24">
        <v>2000.0</v>
      </c>
      <c r="N32" s="25">
        <f t="shared" si="1"/>
        <v>1620</v>
      </c>
      <c r="O32" s="24">
        <v>15000.0</v>
      </c>
      <c r="P32" s="25">
        <f t="shared" si="2"/>
        <v>97620</v>
      </c>
    </row>
    <row r="33" ht="37.5" customHeight="1">
      <c r="A33" s="25"/>
      <c r="B33" s="28" t="s">
        <v>103</v>
      </c>
      <c r="D33" s="29" t="s">
        <v>104</v>
      </c>
      <c r="E33" s="24">
        <v>5.0</v>
      </c>
      <c r="F33" s="24">
        <v>25000.0</v>
      </c>
      <c r="G33" s="24">
        <v>4000.0</v>
      </c>
      <c r="H33" s="24">
        <v>4000.0</v>
      </c>
      <c r="I33" s="24">
        <v>20000.0</v>
      </c>
      <c r="J33" s="24">
        <v>4000.0</v>
      </c>
      <c r="M33" s="24">
        <v>4000.0</v>
      </c>
      <c r="N33" s="25">
        <f t="shared" si="1"/>
        <v>1220</v>
      </c>
      <c r="O33" s="24">
        <v>20000.0</v>
      </c>
      <c r="P33" s="25">
        <f t="shared" si="2"/>
        <v>82220</v>
      </c>
      <c r="Q33" s="37" t="s">
        <v>359</v>
      </c>
    </row>
    <row r="34" ht="37.5" customHeight="1">
      <c r="A34" s="25"/>
      <c r="B34" s="28" t="s">
        <v>103</v>
      </c>
      <c r="D34" s="29" t="s">
        <v>104</v>
      </c>
      <c r="E34" s="24">
        <v>5.0</v>
      </c>
      <c r="F34" s="24">
        <v>45000.0</v>
      </c>
      <c r="G34" s="24">
        <v>8000.0</v>
      </c>
      <c r="H34" s="24">
        <v>8000.0</v>
      </c>
      <c r="I34" s="24">
        <v>20000.0</v>
      </c>
      <c r="J34" s="24">
        <v>8000.0</v>
      </c>
      <c r="M34" s="24">
        <v>8000.0</v>
      </c>
      <c r="N34" s="25">
        <f t="shared" si="1"/>
        <v>1940</v>
      </c>
      <c r="O34" s="24">
        <v>20000.0</v>
      </c>
      <c r="P34" s="25">
        <f t="shared" si="2"/>
        <v>118940</v>
      </c>
      <c r="Q34" s="37" t="s">
        <v>359</v>
      </c>
    </row>
    <row r="35" ht="37.5" customHeight="1">
      <c r="D35" s="29" t="s">
        <v>360</v>
      </c>
      <c r="E35" s="24">
        <v>100.0</v>
      </c>
      <c r="F35" s="24">
        <v>50000.0</v>
      </c>
      <c r="G35" s="24">
        <v>4000.0</v>
      </c>
      <c r="H35" s="24">
        <v>2000.0</v>
      </c>
      <c r="I35" s="24">
        <v>10000.0</v>
      </c>
      <c r="J35" s="24">
        <v>2000.0</v>
      </c>
      <c r="L35" s="24">
        <v>5000.0</v>
      </c>
      <c r="M35" s="24">
        <v>4000.0</v>
      </c>
      <c r="N35" s="25">
        <f t="shared" si="1"/>
        <v>1540</v>
      </c>
      <c r="O35" s="24">
        <v>30000.0</v>
      </c>
      <c r="P35" s="25">
        <f t="shared" si="2"/>
        <v>108540</v>
      </c>
      <c r="Q35" s="24" t="s">
        <v>361</v>
      </c>
    </row>
    <row r="36" ht="37.5" customHeight="1">
      <c r="D36" s="29" t="s">
        <v>362</v>
      </c>
      <c r="E36" s="24">
        <v>100.0</v>
      </c>
      <c r="F36" s="24">
        <v>80000.0</v>
      </c>
      <c r="G36" s="24">
        <v>4000.0</v>
      </c>
      <c r="H36" s="24">
        <v>2000.0</v>
      </c>
      <c r="I36" s="24">
        <v>10000.0</v>
      </c>
      <c r="J36" s="24">
        <v>2000.0</v>
      </c>
      <c r="L36" s="24">
        <v>5000.0</v>
      </c>
      <c r="M36" s="24">
        <v>4000.0</v>
      </c>
      <c r="N36" s="25">
        <f t="shared" si="1"/>
        <v>2140</v>
      </c>
      <c r="O36" s="24">
        <v>30000.0</v>
      </c>
      <c r="P36" s="25">
        <f t="shared" si="2"/>
        <v>139140</v>
      </c>
      <c r="Q36" s="24" t="s">
        <v>363</v>
      </c>
    </row>
    <row r="37" ht="37.5" customHeight="1">
      <c r="D37" s="29" t="s">
        <v>364</v>
      </c>
      <c r="E37" s="24">
        <v>100.0</v>
      </c>
      <c r="F37" s="24">
        <v>60000.0</v>
      </c>
      <c r="G37" s="24">
        <v>4000.0</v>
      </c>
      <c r="H37" s="24">
        <v>2000.0</v>
      </c>
      <c r="I37" s="24">
        <v>10000.0</v>
      </c>
      <c r="J37" s="24">
        <v>2000.0</v>
      </c>
      <c r="L37" s="24">
        <v>5000.0</v>
      </c>
      <c r="M37" s="24">
        <v>4000.0</v>
      </c>
      <c r="N37" s="25">
        <f t="shared" si="1"/>
        <v>1740</v>
      </c>
      <c r="O37" s="24">
        <v>30000.0</v>
      </c>
      <c r="P37" s="25">
        <f t="shared" si="2"/>
        <v>118740</v>
      </c>
      <c r="Q37" s="24" t="s">
        <v>365</v>
      </c>
    </row>
    <row r="38" ht="37.5" customHeight="1">
      <c r="A38" s="25"/>
      <c r="B38" s="24" t="s">
        <v>366</v>
      </c>
      <c r="C38" s="24" t="s">
        <v>367</v>
      </c>
      <c r="E38" s="24">
        <v>3000.0</v>
      </c>
      <c r="F38" s="24">
        <v>4000.0</v>
      </c>
      <c r="H38" s="24">
        <v>500.0</v>
      </c>
      <c r="I38" s="24">
        <v>1500.0</v>
      </c>
      <c r="J38" s="24">
        <v>500.0</v>
      </c>
      <c r="K38" s="24">
        <v>1500.0</v>
      </c>
      <c r="M38" s="24">
        <v>500.0</v>
      </c>
      <c r="N38" s="25">
        <f t="shared" si="1"/>
        <v>170</v>
      </c>
      <c r="O38" s="24">
        <v>2500.0</v>
      </c>
      <c r="P38" s="25">
        <f t="shared" si="2"/>
        <v>11170</v>
      </c>
    </row>
    <row r="39" ht="37.5" customHeight="1">
      <c r="A39" s="25"/>
      <c r="B39" s="24" t="s">
        <v>368</v>
      </c>
      <c r="C39" s="24" t="s">
        <v>367</v>
      </c>
      <c r="E39" s="24">
        <v>3000.0</v>
      </c>
      <c r="F39" s="24">
        <v>7000.0</v>
      </c>
      <c r="H39" s="24">
        <v>500.0</v>
      </c>
      <c r="I39" s="24">
        <v>1500.0</v>
      </c>
      <c r="J39" s="24">
        <v>500.0</v>
      </c>
      <c r="K39" s="24">
        <v>1500.0</v>
      </c>
      <c r="M39" s="24">
        <v>500.0</v>
      </c>
      <c r="N39" s="25">
        <f t="shared" si="1"/>
        <v>230</v>
      </c>
      <c r="O39" s="24">
        <v>2500.0</v>
      </c>
      <c r="P39" s="25">
        <f t="shared" si="2"/>
        <v>14230</v>
      </c>
    </row>
    <row r="40" ht="37.5" customHeight="1">
      <c r="A40" s="25"/>
      <c r="B40" s="24" t="s">
        <v>369</v>
      </c>
      <c r="E40" s="24">
        <v>3000.0</v>
      </c>
      <c r="F40" s="24">
        <v>10000.0</v>
      </c>
      <c r="H40" s="24">
        <v>500.0</v>
      </c>
      <c r="I40" s="24">
        <v>1500.0</v>
      </c>
      <c r="J40" s="24">
        <v>500.0</v>
      </c>
      <c r="K40" s="24">
        <v>1500.0</v>
      </c>
      <c r="M40" s="24">
        <v>500.0</v>
      </c>
      <c r="N40" s="25">
        <f t="shared" si="1"/>
        <v>290</v>
      </c>
      <c r="O40" s="24">
        <v>2500.0</v>
      </c>
      <c r="P40" s="25">
        <f t="shared" si="2"/>
        <v>17290</v>
      </c>
    </row>
    <row r="41" ht="37.5" customHeight="1">
      <c r="A41" s="25"/>
      <c r="B41" s="24" t="s">
        <v>370</v>
      </c>
      <c r="E41" s="24">
        <v>3000.0</v>
      </c>
      <c r="F41" s="24">
        <v>7000.0</v>
      </c>
      <c r="H41" s="24">
        <v>500.0</v>
      </c>
      <c r="I41" s="24">
        <v>1500.0</v>
      </c>
      <c r="J41" s="24">
        <v>500.0</v>
      </c>
      <c r="K41" s="24">
        <v>1500.0</v>
      </c>
      <c r="M41" s="24">
        <v>500.0</v>
      </c>
      <c r="N41" s="25">
        <f t="shared" si="1"/>
        <v>230</v>
      </c>
      <c r="O41" s="24">
        <v>2500.0</v>
      </c>
      <c r="P41" s="25">
        <f t="shared" si="2"/>
        <v>14230</v>
      </c>
    </row>
    <row r="42" ht="37.5" customHeight="1">
      <c r="B42" s="24" t="s">
        <v>371</v>
      </c>
      <c r="D42" s="29" t="s">
        <v>372</v>
      </c>
    </row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37.5" customHeight="1"/>
    <row r="471" ht="37.5" customHeight="1"/>
    <row r="472" ht="37.5" customHeight="1"/>
    <row r="473" ht="37.5" customHeight="1"/>
    <row r="474" ht="37.5" customHeight="1"/>
    <row r="475" ht="37.5" customHeight="1"/>
    <row r="476" ht="37.5" customHeight="1"/>
    <row r="477" ht="37.5" customHeight="1"/>
    <row r="478" ht="37.5" customHeight="1"/>
    <row r="479" ht="37.5" customHeight="1"/>
    <row r="480" ht="37.5" customHeight="1"/>
    <row r="481" ht="37.5" customHeight="1"/>
    <row r="482" ht="37.5" customHeight="1"/>
    <row r="483" ht="37.5" customHeight="1"/>
    <row r="484" ht="37.5" customHeight="1"/>
    <row r="485" ht="37.5" customHeight="1"/>
    <row r="486" ht="37.5" customHeight="1"/>
    <row r="487" ht="37.5" customHeight="1"/>
    <row r="488" ht="37.5" customHeight="1"/>
    <row r="489" ht="37.5" customHeight="1"/>
    <row r="490" ht="37.5" customHeight="1"/>
    <row r="491" ht="37.5" customHeight="1"/>
    <row r="492" ht="37.5" customHeight="1"/>
    <row r="493" ht="37.5" customHeight="1"/>
    <row r="494" ht="37.5" customHeight="1"/>
    <row r="495" ht="37.5" customHeight="1"/>
    <row r="496" ht="37.5" customHeight="1"/>
    <row r="497" ht="37.5" customHeight="1"/>
    <row r="498" ht="37.5" customHeight="1"/>
    <row r="499" ht="37.5" customHeight="1"/>
    <row r="500" ht="37.5" customHeight="1"/>
    <row r="501" ht="37.5" customHeight="1"/>
    <row r="502" ht="37.5" customHeight="1"/>
    <row r="503" ht="37.5" customHeight="1"/>
    <row r="504" ht="37.5" customHeight="1"/>
    <row r="505" ht="37.5" customHeight="1"/>
    <row r="506" ht="37.5" customHeight="1"/>
    <row r="507" ht="37.5" customHeight="1"/>
    <row r="508" ht="37.5" customHeight="1"/>
    <row r="509" ht="37.5" customHeight="1"/>
    <row r="510" ht="37.5" customHeight="1"/>
    <row r="511" ht="37.5" customHeight="1"/>
    <row r="512" ht="37.5" customHeight="1"/>
    <row r="513" ht="37.5" customHeight="1"/>
    <row r="514" ht="37.5" customHeight="1"/>
    <row r="515" ht="37.5" customHeight="1"/>
    <row r="516" ht="37.5" customHeight="1"/>
    <row r="517" ht="37.5" customHeight="1"/>
    <row r="518" ht="37.5" customHeight="1"/>
    <row r="519" ht="37.5" customHeight="1"/>
    <row r="520" ht="37.5" customHeight="1"/>
    <row r="521" ht="37.5" customHeight="1"/>
    <row r="522" ht="37.5" customHeight="1"/>
    <row r="523" ht="37.5" customHeight="1"/>
    <row r="524" ht="37.5" customHeight="1"/>
    <row r="525" ht="37.5" customHeight="1"/>
    <row r="526" ht="37.5" customHeight="1"/>
    <row r="527" ht="37.5" customHeight="1"/>
    <row r="528" ht="37.5" customHeight="1"/>
    <row r="529" ht="37.5" customHeight="1"/>
    <row r="530" ht="37.5" customHeight="1"/>
    <row r="531" ht="37.5" customHeight="1"/>
    <row r="532" ht="37.5" customHeight="1"/>
    <row r="533" ht="37.5" customHeight="1"/>
    <row r="534" ht="37.5" customHeight="1"/>
    <row r="535" ht="37.5" customHeight="1"/>
    <row r="536" ht="37.5" customHeight="1"/>
    <row r="537" ht="37.5" customHeight="1"/>
    <row r="538" ht="37.5" customHeight="1"/>
    <row r="539" ht="37.5" customHeight="1"/>
    <row r="540" ht="37.5" customHeight="1"/>
    <row r="541" ht="37.5" customHeight="1"/>
    <row r="542" ht="37.5" customHeight="1"/>
    <row r="543" ht="37.5" customHeight="1"/>
    <row r="544" ht="37.5" customHeight="1"/>
    <row r="545" ht="37.5" customHeight="1"/>
    <row r="546" ht="37.5" customHeight="1"/>
    <row r="547" ht="37.5" customHeight="1"/>
    <row r="548" ht="37.5" customHeight="1"/>
    <row r="549" ht="37.5" customHeight="1"/>
    <row r="550" ht="37.5" customHeight="1"/>
    <row r="551" ht="37.5" customHeight="1"/>
    <row r="552" ht="37.5" customHeight="1"/>
    <row r="553" ht="37.5" customHeight="1"/>
    <row r="554" ht="37.5" customHeight="1"/>
    <row r="555" ht="37.5" customHeight="1"/>
    <row r="556" ht="37.5" customHeight="1"/>
    <row r="557" ht="37.5" customHeight="1"/>
    <row r="558" ht="37.5" customHeight="1"/>
    <row r="559" ht="37.5" customHeight="1"/>
    <row r="560" ht="37.5" customHeight="1"/>
    <row r="561" ht="37.5" customHeight="1"/>
    <row r="562" ht="37.5" customHeight="1"/>
    <row r="563" ht="37.5" customHeight="1"/>
    <row r="564" ht="37.5" customHeight="1"/>
    <row r="565" ht="37.5" customHeight="1"/>
    <row r="566" ht="37.5" customHeight="1"/>
    <row r="567" ht="37.5" customHeight="1"/>
    <row r="568" ht="37.5" customHeight="1"/>
    <row r="569" ht="37.5" customHeight="1"/>
    <row r="570" ht="37.5" customHeight="1"/>
    <row r="571" ht="37.5" customHeight="1"/>
    <row r="572" ht="37.5" customHeight="1"/>
    <row r="573" ht="37.5" customHeight="1"/>
    <row r="574" ht="37.5" customHeight="1"/>
    <row r="575" ht="37.5" customHeight="1"/>
    <row r="576" ht="37.5" customHeight="1"/>
    <row r="577" ht="37.5" customHeight="1"/>
    <row r="578" ht="37.5" customHeight="1"/>
    <row r="579" ht="37.5" customHeight="1"/>
    <row r="580" ht="37.5" customHeight="1"/>
    <row r="581" ht="37.5" customHeight="1"/>
    <row r="582" ht="37.5" customHeight="1"/>
    <row r="583" ht="37.5" customHeight="1"/>
    <row r="584" ht="37.5" customHeight="1"/>
    <row r="585" ht="37.5" customHeight="1"/>
    <row r="586" ht="37.5" customHeight="1"/>
    <row r="587" ht="37.5" customHeight="1"/>
    <row r="588" ht="37.5" customHeight="1"/>
    <row r="589" ht="37.5" customHeight="1"/>
    <row r="590" ht="37.5" customHeight="1"/>
    <row r="591" ht="37.5" customHeight="1"/>
    <row r="592" ht="37.5" customHeight="1"/>
    <row r="593" ht="37.5" customHeight="1"/>
    <row r="594" ht="37.5" customHeight="1"/>
    <row r="595" ht="37.5" customHeight="1"/>
    <row r="596" ht="37.5" customHeight="1"/>
    <row r="597" ht="37.5" customHeight="1"/>
    <row r="598" ht="37.5" customHeight="1"/>
    <row r="599" ht="37.5" customHeight="1"/>
    <row r="600" ht="37.5" customHeight="1"/>
    <row r="601" ht="37.5" customHeight="1"/>
    <row r="602" ht="37.5" customHeight="1"/>
    <row r="603" ht="37.5" customHeight="1"/>
    <row r="604" ht="37.5" customHeight="1"/>
    <row r="605" ht="37.5" customHeight="1"/>
    <row r="606" ht="37.5" customHeight="1"/>
    <row r="607" ht="37.5" customHeight="1"/>
    <row r="608" ht="37.5" customHeight="1"/>
    <row r="609" ht="37.5" customHeight="1"/>
    <row r="610" ht="37.5" customHeight="1"/>
    <row r="611" ht="37.5" customHeight="1"/>
    <row r="612" ht="37.5" customHeight="1"/>
    <row r="613" ht="37.5" customHeight="1"/>
    <row r="614" ht="37.5" customHeight="1"/>
    <row r="615" ht="37.5" customHeight="1"/>
    <row r="616" ht="37.5" customHeight="1"/>
    <row r="617" ht="37.5" customHeight="1"/>
    <row r="618" ht="37.5" customHeight="1"/>
    <row r="619" ht="37.5" customHeight="1"/>
    <row r="620" ht="37.5" customHeight="1"/>
    <row r="621" ht="37.5" customHeight="1"/>
    <row r="622" ht="37.5" customHeight="1"/>
    <row r="623" ht="37.5" customHeight="1"/>
    <row r="624" ht="37.5" customHeight="1"/>
    <row r="625" ht="37.5" customHeight="1"/>
    <row r="626" ht="37.5" customHeight="1"/>
    <row r="627" ht="37.5" customHeight="1"/>
    <row r="628" ht="37.5" customHeight="1"/>
    <row r="629" ht="37.5" customHeight="1"/>
    <row r="630" ht="37.5" customHeight="1"/>
    <row r="631" ht="37.5" customHeight="1"/>
    <row r="632" ht="37.5" customHeight="1"/>
    <row r="633" ht="37.5" customHeight="1"/>
    <row r="634" ht="37.5" customHeight="1"/>
    <row r="635" ht="37.5" customHeight="1"/>
    <row r="636" ht="37.5" customHeight="1"/>
    <row r="637" ht="37.5" customHeight="1"/>
    <row r="638" ht="37.5" customHeight="1"/>
    <row r="639" ht="37.5" customHeight="1"/>
    <row r="640" ht="37.5" customHeight="1"/>
    <row r="641" ht="37.5" customHeight="1"/>
    <row r="642" ht="37.5" customHeight="1"/>
    <row r="643" ht="37.5" customHeight="1"/>
    <row r="644" ht="37.5" customHeight="1"/>
    <row r="645" ht="37.5" customHeight="1"/>
    <row r="646" ht="37.5" customHeight="1"/>
    <row r="647" ht="37.5" customHeight="1"/>
    <row r="648" ht="37.5" customHeight="1"/>
    <row r="649" ht="37.5" customHeight="1"/>
    <row r="650" ht="37.5" customHeight="1"/>
    <row r="651" ht="37.5" customHeight="1"/>
    <row r="652" ht="37.5" customHeight="1"/>
    <row r="653" ht="37.5" customHeight="1"/>
    <row r="654" ht="37.5" customHeight="1"/>
    <row r="655" ht="37.5" customHeight="1"/>
    <row r="656" ht="37.5" customHeight="1"/>
    <row r="657" ht="37.5" customHeight="1"/>
    <row r="658" ht="37.5" customHeight="1"/>
    <row r="659" ht="37.5" customHeight="1"/>
    <row r="660" ht="37.5" customHeight="1"/>
    <row r="661" ht="37.5" customHeight="1"/>
    <row r="662" ht="37.5" customHeight="1"/>
    <row r="663" ht="37.5" customHeight="1"/>
    <row r="664" ht="37.5" customHeight="1"/>
    <row r="665" ht="37.5" customHeight="1"/>
    <row r="666" ht="37.5" customHeight="1"/>
    <row r="667" ht="37.5" customHeight="1"/>
    <row r="668" ht="37.5" customHeight="1"/>
    <row r="669" ht="37.5" customHeight="1"/>
    <row r="670" ht="37.5" customHeight="1"/>
    <row r="671" ht="37.5" customHeight="1"/>
    <row r="672" ht="37.5" customHeight="1"/>
    <row r="673" ht="37.5" customHeight="1"/>
    <row r="674" ht="37.5" customHeight="1"/>
    <row r="675" ht="37.5" customHeight="1"/>
    <row r="676" ht="37.5" customHeight="1"/>
    <row r="677" ht="37.5" customHeight="1"/>
    <row r="678" ht="37.5" customHeight="1"/>
    <row r="679" ht="37.5" customHeight="1"/>
    <row r="680" ht="37.5" customHeight="1"/>
    <row r="681" ht="37.5" customHeight="1"/>
    <row r="682" ht="37.5" customHeight="1"/>
    <row r="683" ht="37.5" customHeight="1"/>
    <row r="684" ht="37.5" customHeight="1"/>
    <row r="685" ht="37.5" customHeight="1"/>
    <row r="686" ht="37.5" customHeight="1"/>
    <row r="687" ht="37.5" customHeight="1"/>
    <row r="688" ht="37.5" customHeight="1"/>
    <row r="689" ht="37.5" customHeight="1"/>
    <row r="690" ht="37.5" customHeight="1"/>
    <row r="691" ht="37.5" customHeight="1"/>
    <row r="692" ht="37.5" customHeight="1"/>
    <row r="693" ht="37.5" customHeight="1"/>
    <row r="694" ht="37.5" customHeight="1"/>
    <row r="695" ht="37.5" customHeight="1"/>
    <row r="696" ht="37.5" customHeight="1"/>
    <row r="697" ht="37.5" customHeight="1"/>
    <row r="698" ht="37.5" customHeight="1"/>
    <row r="699" ht="37.5" customHeight="1"/>
    <row r="700" ht="37.5" customHeight="1"/>
    <row r="701" ht="37.5" customHeight="1"/>
    <row r="702" ht="37.5" customHeight="1"/>
    <row r="703" ht="37.5" customHeight="1"/>
    <row r="704" ht="37.5" customHeight="1"/>
    <row r="705" ht="37.5" customHeight="1"/>
    <row r="706" ht="37.5" customHeight="1"/>
    <row r="707" ht="37.5" customHeight="1"/>
    <row r="708" ht="37.5" customHeight="1"/>
    <row r="709" ht="37.5" customHeight="1"/>
    <row r="710" ht="37.5" customHeight="1"/>
    <row r="711" ht="37.5" customHeight="1"/>
    <row r="712" ht="37.5" customHeight="1"/>
    <row r="713" ht="37.5" customHeight="1"/>
    <row r="714" ht="37.5" customHeight="1"/>
    <row r="715" ht="37.5" customHeight="1"/>
    <row r="716" ht="37.5" customHeight="1"/>
    <row r="717" ht="37.5" customHeight="1"/>
    <row r="718" ht="37.5" customHeight="1"/>
    <row r="719" ht="37.5" customHeight="1"/>
    <row r="720" ht="37.5" customHeight="1"/>
    <row r="721" ht="37.5" customHeight="1"/>
    <row r="722" ht="37.5" customHeight="1"/>
    <row r="723" ht="37.5" customHeight="1"/>
    <row r="724" ht="37.5" customHeight="1"/>
    <row r="725" ht="37.5" customHeight="1"/>
    <row r="726" ht="37.5" customHeight="1"/>
    <row r="727" ht="37.5" customHeight="1"/>
    <row r="728" ht="37.5" customHeight="1"/>
    <row r="729" ht="37.5" customHeight="1"/>
    <row r="730" ht="37.5" customHeight="1"/>
    <row r="731" ht="37.5" customHeight="1"/>
    <row r="732" ht="37.5" customHeight="1"/>
    <row r="733" ht="37.5" customHeight="1"/>
    <row r="734" ht="37.5" customHeight="1"/>
    <row r="735" ht="37.5" customHeight="1"/>
    <row r="736" ht="37.5" customHeight="1"/>
    <row r="737" ht="37.5" customHeight="1"/>
    <row r="738" ht="37.5" customHeight="1"/>
    <row r="739" ht="37.5" customHeight="1"/>
    <row r="740" ht="37.5" customHeight="1"/>
    <row r="741" ht="37.5" customHeight="1"/>
    <row r="742" ht="37.5" customHeight="1"/>
    <row r="743" ht="37.5" customHeight="1"/>
    <row r="744" ht="37.5" customHeight="1"/>
    <row r="745" ht="37.5" customHeight="1"/>
    <row r="746" ht="37.5" customHeight="1"/>
    <row r="747" ht="37.5" customHeight="1"/>
    <row r="748" ht="37.5" customHeight="1"/>
    <row r="749" ht="37.5" customHeight="1"/>
    <row r="750" ht="37.5" customHeight="1"/>
    <row r="751" ht="37.5" customHeight="1"/>
    <row r="752" ht="37.5" customHeight="1"/>
    <row r="753" ht="37.5" customHeight="1"/>
    <row r="754" ht="37.5" customHeight="1"/>
    <row r="755" ht="37.5" customHeight="1"/>
    <row r="756" ht="37.5" customHeight="1"/>
    <row r="757" ht="37.5" customHeight="1"/>
    <row r="758" ht="37.5" customHeight="1"/>
    <row r="759" ht="37.5" customHeight="1"/>
    <row r="760" ht="37.5" customHeight="1"/>
    <row r="761" ht="37.5" customHeight="1"/>
    <row r="762" ht="37.5" customHeight="1"/>
    <row r="763" ht="37.5" customHeight="1"/>
    <row r="764" ht="37.5" customHeight="1"/>
    <row r="765" ht="37.5" customHeight="1"/>
    <row r="766" ht="37.5" customHeight="1"/>
    <row r="767" ht="37.5" customHeight="1"/>
    <row r="768" ht="37.5" customHeight="1"/>
    <row r="769" ht="37.5" customHeight="1"/>
    <row r="770" ht="37.5" customHeight="1"/>
    <row r="771" ht="37.5" customHeight="1"/>
    <row r="772" ht="37.5" customHeight="1"/>
    <row r="773" ht="37.5" customHeight="1"/>
    <row r="774" ht="37.5" customHeight="1"/>
    <row r="775" ht="37.5" customHeight="1"/>
    <row r="776" ht="37.5" customHeight="1"/>
    <row r="777" ht="37.5" customHeight="1"/>
    <row r="778" ht="37.5" customHeight="1"/>
    <row r="779" ht="37.5" customHeight="1"/>
    <row r="780" ht="37.5" customHeight="1"/>
    <row r="781" ht="37.5" customHeight="1"/>
    <row r="782" ht="37.5" customHeight="1"/>
    <row r="783" ht="37.5" customHeight="1"/>
    <row r="784" ht="37.5" customHeight="1"/>
    <row r="785" ht="37.5" customHeight="1"/>
    <row r="786" ht="37.5" customHeight="1"/>
    <row r="787" ht="37.5" customHeight="1"/>
    <row r="788" ht="37.5" customHeight="1"/>
    <row r="789" ht="37.5" customHeight="1"/>
    <row r="790" ht="37.5" customHeight="1"/>
    <row r="791" ht="37.5" customHeight="1"/>
    <row r="792" ht="37.5" customHeight="1"/>
    <row r="793" ht="37.5" customHeight="1"/>
    <row r="794" ht="37.5" customHeight="1"/>
    <row r="795" ht="37.5" customHeight="1"/>
    <row r="796" ht="37.5" customHeight="1"/>
    <row r="797" ht="37.5" customHeight="1"/>
    <row r="798" ht="37.5" customHeight="1"/>
    <row r="799" ht="37.5" customHeight="1"/>
    <row r="800" ht="37.5" customHeight="1"/>
    <row r="801" ht="37.5" customHeight="1"/>
    <row r="802" ht="37.5" customHeight="1"/>
    <row r="803" ht="37.5" customHeight="1"/>
    <row r="804" ht="37.5" customHeight="1"/>
    <row r="805" ht="37.5" customHeight="1"/>
    <row r="806" ht="37.5" customHeight="1"/>
    <row r="807" ht="37.5" customHeight="1"/>
    <row r="808" ht="37.5" customHeight="1"/>
    <row r="809" ht="37.5" customHeight="1"/>
    <row r="810" ht="37.5" customHeight="1"/>
    <row r="811" ht="37.5" customHeight="1"/>
    <row r="812" ht="37.5" customHeight="1"/>
    <row r="813" ht="37.5" customHeight="1"/>
    <row r="814" ht="37.5" customHeight="1"/>
    <row r="815" ht="37.5" customHeight="1"/>
    <row r="816" ht="37.5" customHeight="1"/>
    <row r="817" ht="37.5" customHeight="1"/>
    <row r="818" ht="37.5" customHeight="1"/>
    <row r="819" ht="37.5" customHeight="1"/>
    <row r="820" ht="37.5" customHeight="1"/>
    <row r="821" ht="37.5" customHeight="1"/>
    <row r="822" ht="37.5" customHeight="1"/>
    <row r="823" ht="37.5" customHeight="1"/>
    <row r="824" ht="37.5" customHeight="1"/>
    <row r="825" ht="37.5" customHeight="1"/>
    <row r="826" ht="37.5" customHeight="1"/>
    <row r="827" ht="37.5" customHeight="1"/>
    <row r="828" ht="37.5" customHeight="1"/>
    <row r="829" ht="37.5" customHeight="1"/>
    <row r="830" ht="37.5" customHeight="1"/>
    <row r="831" ht="37.5" customHeight="1"/>
    <row r="832" ht="37.5" customHeight="1"/>
    <row r="833" ht="37.5" customHeight="1"/>
    <row r="834" ht="37.5" customHeight="1"/>
    <row r="835" ht="37.5" customHeight="1"/>
    <row r="836" ht="37.5" customHeight="1"/>
    <row r="837" ht="37.5" customHeight="1"/>
    <row r="838" ht="37.5" customHeight="1"/>
    <row r="839" ht="37.5" customHeight="1"/>
    <row r="840" ht="37.5" customHeight="1"/>
    <row r="841" ht="37.5" customHeight="1"/>
    <row r="842" ht="37.5" customHeight="1"/>
    <row r="843" ht="37.5" customHeight="1"/>
    <row r="844" ht="37.5" customHeight="1"/>
    <row r="845" ht="37.5" customHeight="1"/>
    <row r="846" ht="37.5" customHeight="1"/>
    <row r="847" ht="37.5" customHeight="1"/>
    <row r="848" ht="37.5" customHeight="1"/>
    <row r="849" ht="37.5" customHeight="1"/>
    <row r="850" ht="37.5" customHeight="1"/>
    <row r="851" ht="37.5" customHeight="1"/>
    <row r="852" ht="37.5" customHeight="1"/>
    <row r="853" ht="37.5" customHeight="1"/>
    <row r="854" ht="37.5" customHeight="1"/>
    <row r="855" ht="37.5" customHeight="1"/>
    <row r="856" ht="37.5" customHeight="1"/>
    <row r="857" ht="37.5" customHeight="1"/>
    <row r="858" ht="37.5" customHeight="1"/>
    <row r="859" ht="37.5" customHeight="1"/>
    <row r="860" ht="37.5" customHeight="1"/>
    <row r="861" ht="37.5" customHeight="1"/>
    <row r="862" ht="37.5" customHeight="1"/>
    <row r="863" ht="37.5" customHeight="1"/>
    <row r="864" ht="37.5" customHeight="1"/>
    <row r="865" ht="37.5" customHeight="1"/>
    <row r="866" ht="37.5" customHeight="1"/>
    <row r="867" ht="37.5" customHeight="1"/>
    <row r="868" ht="37.5" customHeight="1"/>
    <row r="869" ht="37.5" customHeight="1"/>
    <row r="870" ht="37.5" customHeight="1"/>
    <row r="871" ht="37.5" customHeight="1"/>
    <row r="872" ht="37.5" customHeight="1"/>
    <row r="873" ht="37.5" customHeight="1"/>
    <row r="874" ht="37.5" customHeight="1"/>
    <row r="875" ht="37.5" customHeight="1"/>
    <row r="876" ht="37.5" customHeight="1"/>
    <row r="877" ht="37.5" customHeight="1"/>
    <row r="878" ht="37.5" customHeight="1"/>
    <row r="879" ht="37.5" customHeight="1"/>
    <row r="880" ht="37.5" customHeight="1"/>
    <row r="881" ht="37.5" customHeight="1"/>
    <row r="882" ht="37.5" customHeight="1"/>
    <row r="883" ht="37.5" customHeight="1"/>
    <row r="884" ht="37.5" customHeight="1"/>
    <row r="885" ht="37.5" customHeight="1"/>
    <row r="886" ht="37.5" customHeight="1"/>
    <row r="887" ht="37.5" customHeight="1"/>
    <row r="888" ht="37.5" customHeight="1"/>
    <row r="889" ht="37.5" customHeight="1"/>
    <row r="890" ht="37.5" customHeight="1"/>
    <row r="891" ht="37.5" customHeight="1"/>
    <row r="892" ht="37.5" customHeight="1"/>
    <row r="893" ht="37.5" customHeight="1"/>
    <row r="894" ht="37.5" customHeight="1"/>
    <row r="895" ht="37.5" customHeight="1"/>
    <row r="896" ht="37.5" customHeight="1"/>
    <row r="897" ht="37.5" customHeight="1"/>
    <row r="898" ht="37.5" customHeight="1"/>
    <row r="899" ht="37.5" customHeight="1"/>
    <row r="900" ht="37.5" customHeight="1"/>
    <row r="901" ht="37.5" customHeight="1"/>
    <row r="902" ht="37.5" customHeight="1"/>
    <row r="903" ht="37.5" customHeight="1"/>
    <row r="904" ht="37.5" customHeight="1"/>
    <row r="905" ht="37.5" customHeight="1"/>
    <row r="906" ht="37.5" customHeight="1"/>
    <row r="907" ht="37.5" customHeight="1"/>
    <row r="908" ht="37.5" customHeight="1"/>
    <row r="909" ht="37.5" customHeight="1"/>
    <row r="910" ht="37.5" customHeight="1"/>
    <row r="911" ht="37.5" customHeight="1"/>
    <row r="912" ht="37.5" customHeight="1"/>
    <row r="913" ht="37.5" customHeight="1"/>
    <row r="914" ht="37.5" customHeight="1"/>
    <row r="915" ht="37.5" customHeight="1"/>
    <row r="916" ht="37.5" customHeight="1"/>
    <row r="917" ht="37.5" customHeight="1"/>
    <row r="918" ht="37.5" customHeight="1"/>
    <row r="919" ht="37.5" customHeight="1"/>
    <row r="920" ht="37.5" customHeight="1"/>
    <row r="921" ht="37.5" customHeight="1"/>
    <row r="922" ht="37.5" customHeight="1"/>
    <row r="923" ht="37.5" customHeight="1"/>
    <row r="924" ht="37.5" customHeight="1"/>
    <row r="925" ht="37.5" customHeight="1"/>
    <row r="926" ht="37.5" customHeight="1"/>
    <row r="927" ht="37.5" customHeight="1"/>
    <row r="928" ht="37.5" customHeight="1"/>
    <row r="929" ht="37.5" customHeight="1"/>
    <row r="930" ht="37.5" customHeight="1"/>
    <row r="931" ht="37.5" customHeight="1"/>
    <row r="932" ht="37.5" customHeight="1"/>
    <row r="933" ht="37.5" customHeight="1"/>
    <row r="934" ht="37.5" customHeight="1"/>
    <row r="935" ht="37.5" customHeight="1"/>
    <row r="936" ht="37.5" customHeight="1"/>
    <row r="937" ht="37.5" customHeight="1"/>
    <row r="938" ht="37.5" customHeight="1"/>
    <row r="939" ht="37.5" customHeight="1"/>
    <row r="940" ht="37.5" customHeight="1"/>
    <row r="941" ht="37.5" customHeight="1"/>
    <row r="942" ht="37.5" customHeight="1"/>
    <row r="943" ht="37.5" customHeight="1"/>
    <row r="944" ht="37.5" customHeight="1"/>
    <row r="945" ht="37.5" customHeight="1"/>
    <row r="946" ht="37.5" customHeight="1"/>
    <row r="947" ht="37.5" customHeight="1"/>
    <row r="948" ht="37.5" customHeight="1"/>
    <row r="949" ht="37.5" customHeight="1"/>
    <row r="950" ht="37.5" customHeight="1"/>
    <row r="951" ht="37.5" customHeight="1"/>
    <row r="952" ht="37.5" customHeight="1"/>
    <row r="953" ht="37.5" customHeight="1"/>
    <row r="954" ht="37.5" customHeight="1"/>
    <row r="955" ht="37.5" customHeight="1"/>
    <row r="956" ht="37.5" customHeight="1"/>
    <row r="957" ht="37.5" customHeight="1"/>
    <row r="958" ht="37.5" customHeight="1"/>
    <row r="959" ht="37.5" customHeight="1"/>
    <row r="960" ht="37.5" customHeight="1"/>
    <row r="961" ht="37.5" customHeight="1"/>
    <row r="962" ht="37.5" customHeight="1"/>
    <row r="963" ht="37.5" customHeight="1"/>
    <row r="964" ht="37.5" customHeight="1"/>
    <row r="965" ht="37.5" customHeight="1"/>
    <row r="966" ht="37.5" customHeight="1"/>
    <row r="967" ht="37.5" customHeight="1"/>
    <row r="968" ht="37.5" customHeight="1"/>
    <row r="969" ht="37.5" customHeight="1"/>
    <row r="970" ht="37.5" customHeight="1"/>
    <row r="971" ht="37.5" customHeight="1"/>
    <row r="972" ht="37.5" customHeight="1"/>
    <row r="973" ht="37.5" customHeight="1"/>
    <row r="974" ht="37.5" customHeight="1"/>
    <row r="975" ht="37.5" customHeight="1"/>
    <row r="976" ht="37.5" customHeight="1"/>
    <row r="977" ht="37.5" customHeight="1"/>
    <row r="978" ht="37.5" customHeight="1"/>
    <row r="979" ht="37.5" customHeight="1"/>
    <row r="980" ht="37.5" customHeight="1"/>
    <row r="981" ht="37.5" customHeight="1"/>
    <row r="982" ht="37.5" customHeight="1"/>
    <row r="983" ht="37.5" customHeight="1"/>
    <row r="984" ht="37.5" customHeight="1"/>
    <row r="985" ht="37.5" customHeight="1"/>
    <row r="986" ht="37.5" customHeight="1"/>
    <row r="987" ht="37.5" customHeight="1"/>
    <row r="988" ht="37.5" customHeight="1"/>
    <row r="989" ht="37.5" customHeight="1"/>
    <row r="990" ht="37.5" customHeight="1"/>
    <row r="991" ht="37.5" customHeight="1"/>
    <row r="992" ht="37.5" customHeight="1"/>
    <row r="993" ht="37.5" customHeight="1"/>
    <row r="994" ht="37.5" customHeight="1"/>
    <row r="995" ht="37.5" customHeight="1"/>
    <row r="996" ht="37.5" customHeight="1"/>
    <row r="997" ht="37.5" customHeight="1"/>
    <row r="998" ht="37.5" customHeight="1"/>
    <row r="999" ht="37.5" customHeight="1"/>
    <row r="1000" ht="37.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33"/>
    <hyperlink r:id="rId26" ref="D34"/>
    <hyperlink r:id="rId27" ref="D35"/>
    <hyperlink r:id="rId28" ref="D36"/>
    <hyperlink r:id="rId29" ref="D37"/>
    <hyperlink r:id="rId30" ref="D42"/>
  </hyperlinks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4" t="s">
        <v>373</v>
      </c>
      <c r="C1" s="24" t="s">
        <v>374</v>
      </c>
      <c r="D1" s="24" t="s">
        <v>375</v>
      </c>
      <c r="E1" s="24" t="s">
        <v>376</v>
      </c>
      <c r="F1" s="24" t="s">
        <v>377</v>
      </c>
      <c r="G1" s="24" t="s">
        <v>378</v>
      </c>
      <c r="K1" s="24" t="s">
        <v>373</v>
      </c>
      <c r="L1" s="24" t="s">
        <v>374</v>
      </c>
      <c r="M1" s="24" t="s">
        <v>375</v>
      </c>
      <c r="N1" s="24" t="s">
        <v>376</v>
      </c>
      <c r="O1" s="24" t="s">
        <v>377</v>
      </c>
      <c r="P1" s="24" t="s">
        <v>378</v>
      </c>
    </row>
    <row r="2">
      <c r="A2" s="24" t="s">
        <v>379</v>
      </c>
      <c r="B2" s="24">
        <v>50.0</v>
      </c>
      <c r="C2" s="24">
        <v>1.0</v>
      </c>
      <c r="D2" s="24">
        <v>17500.0</v>
      </c>
      <c r="E2" s="25">
        <f t="shared" ref="E2:E19" si="1">B2*C2*D2</f>
        <v>875000</v>
      </c>
      <c r="F2" s="25">
        <f>SUM(E2:E19)</f>
        <v>23800000</v>
      </c>
      <c r="G2" s="25">
        <f>F2/2</f>
        <v>11900000</v>
      </c>
      <c r="J2" s="24" t="s">
        <v>379</v>
      </c>
      <c r="K2" s="24">
        <v>40.0</v>
      </c>
      <c r="L2" s="24">
        <v>1.0</v>
      </c>
      <c r="M2" s="24">
        <v>17500.0</v>
      </c>
      <c r="N2" s="25">
        <f t="shared" ref="N2:N19" si="2">K2*L2*M2</f>
        <v>700000</v>
      </c>
      <c r="O2" s="25">
        <f>SUM(N2:N19)</f>
        <v>21700000</v>
      </c>
      <c r="P2" s="25">
        <f>O2/2</f>
        <v>10850000</v>
      </c>
    </row>
    <row r="3">
      <c r="A3" s="24" t="s">
        <v>380</v>
      </c>
      <c r="B3" s="24">
        <v>250000.0</v>
      </c>
      <c r="C3" s="24">
        <v>2.0</v>
      </c>
      <c r="D3" s="24">
        <v>1.0</v>
      </c>
      <c r="E3" s="25">
        <f t="shared" si="1"/>
        <v>500000</v>
      </c>
      <c r="J3" s="24" t="s">
        <v>380</v>
      </c>
      <c r="K3" s="24">
        <v>250000.0</v>
      </c>
      <c r="L3" s="24">
        <v>2.0</v>
      </c>
      <c r="M3" s="24">
        <v>1.0</v>
      </c>
      <c r="N3" s="25">
        <f t="shared" si="2"/>
        <v>500000</v>
      </c>
    </row>
    <row r="4">
      <c r="A4" s="24" t="s">
        <v>381</v>
      </c>
      <c r="B4" s="24">
        <v>70.0</v>
      </c>
      <c r="C4" s="24">
        <v>1.0</v>
      </c>
      <c r="D4" s="24">
        <v>17500.0</v>
      </c>
      <c r="E4" s="25">
        <f t="shared" si="1"/>
        <v>1225000</v>
      </c>
      <c r="J4" s="24" t="s">
        <v>381</v>
      </c>
      <c r="K4" s="24">
        <v>60.0</v>
      </c>
      <c r="L4" s="24">
        <v>1.0</v>
      </c>
      <c r="M4" s="24">
        <v>17500.0</v>
      </c>
      <c r="N4" s="25">
        <f t="shared" si="2"/>
        <v>1050000</v>
      </c>
    </row>
    <row r="5">
      <c r="A5" s="24" t="s">
        <v>382</v>
      </c>
      <c r="B5" s="24">
        <v>250000.0</v>
      </c>
      <c r="C5" s="24">
        <v>2.0</v>
      </c>
      <c r="D5" s="24">
        <v>1.0</v>
      </c>
      <c r="E5" s="25">
        <f t="shared" si="1"/>
        <v>500000</v>
      </c>
      <c r="J5" s="24" t="s">
        <v>382</v>
      </c>
      <c r="K5" s="24">
        <v>250000.0</v>
      </c>
      <c r="L5" s="24">
        <v>2.0</v>
      </c>
      <c r="M5" s="24">
        <v>1.0</v>
      </c>
      <c r="N5" s="25">
        <f t="shared" si="2"/>
        <v>500000</v>
      </c>
    </row>
    <row r="6">
      <c r="A6" s="24" t="s">
        <v>383</v>
      </c>
      <c r="B6" s="24">
        <v>45.0</v>
      </c>
      <c r="C6" s="24">
        <v>2.0</v>
      </c>
      <c r="D6" s="24">
        <v>17500.0</v>
      </c>
      <c r="E6" s="25">
        <f t="shared" si="1"/>
        <v>1575000</v>
      </c>
      <c r="J6" s="24" t="s">
        <v>383</v>
      </c>
      <c r="K6" s="24">
        <v>35.0</v>
      </c>
      <c r="L6" s="24">
        <v>2.0</v>
      </c>
      <c r="M6" s="24">
        <v>17500.0</v>
      </c>
      <c r="N6" s="25">
        <f t="shared" si="2"/>
        <v>1225000</v>
      </c>
    </row>
    <row r="7">
      <c r="A7" s="24" t="s">
        <v>384</v>
      </c>
      <c r="B7" s="24">
        <v>65.0</v>
      </c>
      <c r="C7" s="24">
        <v>1.0</v>
      </c>
      <c r="D7" s="24">
        <v>17500.0</v>
      </c>
      <c r="E7" s="25">
        <f t="shared" si="1"/>
        <v>1137500</v>
      </c>
      <c r="J7" s="24" t="s">
        <v>384</v>
      </c>
      <c r="K7" s="24">
        <v>55.0</v>
      </c>
      <c r="L7" s="24">
        <v>1.0</v>
      </c>
      <c r="M7" s="24">
        <v>17500.0</v>
      </c>
      <c r="N7" s="25">
        <f t="shared" si="2"/>
        <v>962500</v>
      </c>
    </row>
    <row r="8">
      <c r="A8" s="24" t="s">
        <v>385</v>
      </c>
      <c r="B8" s="24">
        <v>55.0</v>
      </c>
      <c r="C8" s="24">
        <v>1.0</v>
      </c>
      <c r="D8" s="24">
        <v>17500.0</v>
      </c>
      <c r="E8" s="25">
        <f t="shared" si="1"/>
        <v>962500</v>
      </c>
      <c r="J8" s="24" t="s">
        <v>385</v>
      </c>
      <c r="K8" s="24">
        <v>45.0</v>
      </c>
      <c r="L8" s="24">
        <v>1.0</v>
      </c>
      <c r="M8" s="24">
        <v>17500.0</v>
      </c>
      <c r="N8" s="25">
        <f t="shared" si="2"/>
        <v>787500</v>
      </c>
    </row>
    <row r="9">
      <c r="A9" s="24" t="s">
        <v>386</v>
      </c>
      <c r="B9" s="24">
        <v>40.0</v>
      </c>
      <c r="C9" s="24">
        <v>1.0</v>
      </c>
      <c r="D9" s="24">
        <v>17500.0</v>
      </c>
      <c r="E9" s="25">
        <f t="shared" si="1"/>
        <v>700000</v>
      </c>
      <c r="J9" s="24" t="s">
        <v>386</v>
      </c>
      <c r="K9" s="24">
        <v>30.0</v>
      </c>
      <c r="L9" s="24">
        <v>1.0</v>
      </c>
      <c r="M9" s="24">
        <v>17500.0</v>
      </c>
      <c r="N9" s="25">
        <f t="shared" si="2"/>
        <v>525000</v>
      </c>
    </row>
    <row r="10">
      <c r="A10" s="24" t="s">
        <v>387</v>
      </c>
      <c r="B10" s="24">
        <v>35.0</v>
      </c>
      <c r="C10" s="24">
        <v>2.0</v>
      </c>
      <c r="D10" s="24">
        <v>17500.0</v>
      </c>
      <c r="E10" s="25">
        <f t="shared" si="1"/>
        <v>1225000</v>
      </c>
      <c r="J10" s="24" t="s">
        <v>387</v>
      </c>
      <c r="K10" s="24">
        <v>25.0</v>
      </c>
      <c r="L10" s="24">
        <v>2.0</v>
      </c>
      <c r="M10" s="24">
        <v>17500.0</v>
      </c>
      <c r="N10" s="25">
        <f t="shared" si="2"/>
        <v>875000</v>
      </c>
    </row>
    <row r="11">
      <c r="A11" s="24" t="s">
        <v>388</v>
      </c>
      <c r="B11" s="24">
        <v>60.0</v>
      </c>
      <c r="C11" s="24">
        <v>1.0</v>
      </c>
      <c r="D11" s="24">
        <v>17500.0</v>
      </c>
      <c r="E11" s="25">
        <f t="shared" si="1"/>
        <v>1050000</v>
      </c>
      <c r="J11" s="24" t="s">
        <v>388</v>
      </c>
      <c r="K11" s="24">
        <v>50.0</v>
      </c>
      <c r="L11" s="24">
        <v>1.0</v>
      </c>
      <c r="M11" s="24">
        <v>17500.0</v>
      </c>
      <c r="N11" s="25">
        <f t="shared" si="2"/>
        <v>875000</v>
      </c>
    </row>
    <row r="12">
      <c r="A12" s="24" t="s">
        <v>389</v>
      </c>
      <c r="B12" s="24">
        <v>100.0</v>
      </c>
      <c r="C12" s="24">
        <v>1.0</v>
      </c>
      <c r="D12" s="24">
        <v>17500.0</v>
      </c>
      <c r="E12" s="25">
        <f t="shared" si="1"/>
        <v>1750000</v>
      </c>
      <c r="J12" s="24" t="s">
        <v>389</v>
      </c>
      <c r="K12" s="24">
        <v>90.0</v>
      </c>
      <c r="L12" s="24">
        <v>1.0</v>
      </c>
      <c r="M12" s="24">
        <v>17500.0</v>
      </c>
      <c r="N12" s="25">
        <f t="shared" si="2"/>
        <v>1575000</v>
      </c>
    </row>
    <row r="13">
      <c r="A13" s="24" t="s">
        <v>390</v>
      </c>
      <c r="B13" s="24">
        <v>100.0</v>
      </c>
      <c r="C13" s="24">
        <v>1.0</v>
      </c>
      <c r="D13" s="24">
        <v>17500.0</v>
      </c>
      <c r="E13" s="25">
        <f t="shared" si="1"/>
        <v>1750000</v>
      </c>
      <c r="J13" s="24" t="s">
        <v>390</v>
      </c>
      <c r="K13" s="24">
        <v>90.0</v>
      </c>
      <c r="L13" s="24">
        <v>1.0</v>
      </c>
      <c r="M13" s="24">
        <v>17500.0</v>
      </c>
      <c r="N13" s="25">
        <f t="shared" si="2"/>
        <v>1575000</v>
      </c>
    </row>
    <row r="14">
      <c r="A14" s="24" t="s">
        <v>391</v>
      </c>
      <c r="B14" s="24">
        <v>1000000.0</v>
      </c>
      <c r="C14" s="24">
        <v>2.0</v>
      </c>
      <c r="D14" s="24">
        <v>1.0</v>
      </c>
      <c r="E14" s="25">
        <f t="shared" si="1"/>
        <v>2000000</v>
      </c>
      <c r="J14" s="24" t="s">
        <v>391</v>
      </c>
      <c r="K14" s="24">
        <v>1000000.0</v>
      </c>
      <c r="L14" s="24">
        <v>2.0</v>
      </c>
      <c r="M14" s="24">
        <v>1.0</v>
      </c>
      <c r="N14" s="25">
        <f t="shared" si="2"/>
        <v>2000000</v>
      </c>
    </row>
    <row r="15">
      <c r="A15" s="24" t="s">
        <v>392</v>
      </c>
      <c r="B15" s="24">
        <v>2000000.0</v>
      </c>
      <c r="C15" s="24">
        <v>2.0</v>
      </c>
      <c r="D15" s="24">
        <v>1.0</v>
      </c>
      <c r="E15" s="25">
        <f t="shared" si="1"/>
        <v>4000000</v>
      </c>
      <c r="J15" s="24" t="s">
        <v>392</v>
      </c>
      <c r="K15" s="24">
        <v>2000000.0</v>
      </c>
      <c r="L15" s="24">
        <v>2.0</v>
      </c>
      <c r="M15" s="24">
        <v>1.0</v>
      </c>
      <c r="N15" s="25">
        <f t="shared" si="2"/>
        <v>4000000</v>
      </c>
    </row>
    <row r="16">
      <c r="A16" s="24" t="s">
        <v>393</v>
      </c>
      <c r="B16" s="24">
        <v>550000.0</v>
      </c>
      <c r="C16" s="24">
        <v>1.0</v>
      </c>
      <c r="D16" s="24">
        <v>1.0</v>
      </c>
      <c r="E16" s="25">
        <f t="shared" si="1"/>
        <v>550000</v>
      </c>
      <c r="J16" s="24" t="s">
        <v>393</v>
      </c>
      <c r="K16" s="24">
        <v>550000.0</v>
      </c>
      <c r="L16" s="24">
        <v>1.0</v>
      </c>
      <c r="M16" s="24">
        <v>1.0</v>
      </c>
      <c r="N16" s="25">
        <f t="shared" si="2"/>
        <v>550000</v>
      </c>
    </row>
    <row r="17">
      <c r="A17" s="24" t="s">
        <v>394</v>
      </c>
      <c r="B17" s="24">
        <v>500000.0</v>
      </c>
      <c r="C17" s="24">
        <v>1.0</v>
      </c>
      <c r="D17" s="24">
        <v>1.0</v>
      </c>
      <c r="E17" s="25">
        <f t="shared" si="1"/>
        <v>500000</v>
      </c>
      <c r="J17" s="24" t="s">
        <v>394</v>
      </c>
      <c r="K17" s="24">
        <v>500000.0</v>
      </c>
      <c r="L17" s="24">
        <v>1.0</v>
      </c>
      <c r="M17" s="24">
        <v>1.0</v>
      </c>
      <c r="N17" s="25">
        <f t="shared" si="2"/>
        <v>500000</v>
      </c>
    </row>
    <row r="18">
      <c r="A18" s="24" t="s">
        <v>395</v>
      </c>
      <c r="B18" s="24">
        <v>3500000.0</v>
      </c>
      <c r="C18" s="24">
        <v>1.0</v>
      </c>
      <c r="D18" s="24">
        <v>1.0</v>
      </c>
      <c r="E18" s="25">
        <f t="shared" si="1"/>
        <v>3500000</v>
      </c>
      <c r="J18" s="24" t="s">
        <v>395</v>
      </c>
      <c r="K18" s="24">
        <v>3500000.0</v>
      </c>
      <c r="L18" s="24">
        <v>1.0</v>
      </c>
      <c r="M18" s="24">
        <v>1.0</v>
      </c>
      <c r="N18" s="25">
        <f t="shared" si="2"/>
        <v>3500000</v>
      </c>
    </row>
    <row r="19">
      <c r="A19" s="24" t="s">
        <v>396</v>
      </c>
      <c r="C19" s="24">
        <v>1.0</v>
      </c>
      <c r="D19" s="24">
        <v>1.0</v>
      </c>
      <c r="E19" s="25">
        <f t="shared" si="1"/>
        <v>0</v>
      </c>
      <c r="J19" s="24" t="s">
        <v>396</v>
      </c>
      <c r="L19" s="24">
        <v>1.0</v>
      </c>
      <c r="M19" s="24">
        <v>1.0</v>
      </c>
      <c r="N19" s="25">
        <f t="shared" si="2"/>
        <v>0</v>
      </c>
    </row>
    <row r="23">
      <c r="B23" s="24">
        <v>14500.0</v>
      </c>
      <c r="C23" s="40">
        <f>D23/100*B23</f>
        <v>12375.38249</v>
      </c>
      <c r="D23" s="25">
        <v>85.34746543778773</v>
      </c>
      <c r="E23" s="25">
        <f t="shared" ref="E23:E25" si="3">83.9069/100*B23</f>
        <v>12166.5005</v>
      </c>
      <c r="F23" s="25">
        <f t="shared" ref="F23:F25" si="4">E23*2</f>
        <v>24333.001</v>
      </c>
      <c r="G23" s="25">
        <f>SUM(F23:F25)</f>
        <v>78033.417</v>
      </c>
      <c r="I23" s="24">
        <v>78033.0</v>
      </c>
    </row>
    <row r="24">
      <c r="B24" s="24">
        <v>15500.0</v>
      </c>
      <c r="C24" s="41">
        <v>13228.8571428571</v>
      </c>
      <c r="D24" s="25">
        <f t="shared" ref="D24:D25" si="5">C24/B24*100</f>
        <v>85.34746544</v>
      </c>
      <c r="E24" s="25">
        <f t="shared" si="3"/>
        <v>13005.5695</v>
      </c>
      <c r="F24" s="25">
        <f t="shared" si="4"/>
        <v>26011.139</v>
      </c>
    </row>
    <row r="25">
      <c r="B25" s="24">
        <v>16500.0</v>
      </c>
      <c r="C25" s="25">
        <f>B25*C24/B24</f>
        <v>14082.3318</v>
      </c>
      <c r="D25" s="25">
        <f t="shared" si="5"/>
        <v>85.34746544</v>
      </c>
      <c r="E25" s="25">
        <f t="shared" si="3"/>
        <v>13844.6385</v>
      </c>
      <c r="F25" s="25">
        <f t="shared" si="4"/>
        <v>27689.277</v>
      </c>
    </row>
    <row r="27">
      <c r="B27" s="42">
        <v>7000.0</v>
      </c>
      <c r="C27" s="43">
        <f>B27*C28/B28</f>
        <v>5965.3125</v>
      </c>
      <c r="E27" s="43">
        <f t="shared" ref="E27:E28" si="6">83.583/100*B27</f>
        <v>5850.81</v>
      </c>
      <c r="F27" s="43">
        <f t="shared" ref="F27:F28" si="7">E27*20</f>
        <v>117016.2</v>
      </c>
      <c r="G27" s="43">
        <f>SUM(F27:F29)</f>
        <v>250749</v>
      </c>
      <c r="I27" s="24">
        <v>250750.0</v>
      </c>
    </row>
    <row r="28">
      <c r="B28" s="24">
        <v>8000.0</v>
      </c>
      <c r="C28" s="24">
        <v>6817.5</v>
      </c>
      <c r="E28" s="25">
        <f t="shared" si="6"/>
        <v>6686.64</v>
      </c>
      <c r="F28" s="25">
        <f t="shared" si="7"/>
        <v>133732.8</v>
      </c>
    </row>
    <row r="30">
      <c r="B30" s="24">
        <v>15500.0</v>
      </c>
      <c r="C30" s="41">
        <v>13228.8571428571</v>
      </c>
      <c r="D30" s="25">
        <f t="shared" ref="D30:D31" si="8">C30/B30*100</f>
        <v>85.34746544</v>
      </c>
      <c r="E30" s="25">
        <f t="shared" ref="E30:E31" si="9">85.09375/100*B30</f>
        <v>13189.53125</v>
      </c>
      <c r="F30" s="25">
        <f t="shared" ref="F30:F31" si="10">E30*25</f>
        <v>329738.2813</v>
      </c>
      <c r="G30" s="25">
        <f>SUM(F30:F32)</f>
        <v>680750</v>
      </c>
      <c r="I30" s="24">
        <v>680750.0</v>
      </c>
    </row>
    <row r="31">
      <c r="B31" s="24">
        <v>16500.0</v>
      </c>
      <c r="C31" s="25">
        <f>B31*C30/B30</f>
        <v>14082.3318</v>
      </c>
      <c r="D31" s="25">
        <f t="shared" si="8"/>
        <v>85.34746544</v>
      </c>
      <c r="E31" s="25">
        <f t="shared" si="9"/>
        <v>14040.46875</v>
      </c>
      <c r="F31" s="25">
        <f t="shared" si="10"/>
        <v>351011.7188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397</v>
      </c>
      <c r="B1" s="24" t="s">
        <v>398</v>
      </c>
      <c r="C1" s="24" t="s">
        <v>399</v>
      </c>
      <c r="D1" s="24" t="s">
        <v>400</v>
      </c>
      <c r="E1" s="24" t="s">
        <v>401</v>
      </c>
      <c r="F1" s="24" t="s">
        <v>35</v>
      </c>
      <c r="G1" s="24" t="s">
        <v>402</v>
      </c>
      <c r="H1" s="24" t="s">
        <v>403</v>
      </c>
      <c r="I1" s="24" t="s">
        <v>404</v>
      </c>
      <c r="K1" s="24" t="s">
        <v>405</v>
      </c>
      <c r="M1" s="24" t="s">
        <v>406</v>
      </c>
    </row>
    <row r="2">
      <c r="A2" s="24" t="s">
        <v>407</v>
      </c>
      <c r="B2" s="24" t="s">
        <v>408</v>
      </c>
      <c r="C2" s="24">
        <v>1165.0</v>
      </c>
      <c r="D2" s="24">
        <v>51.61</v>
      </c>
      <c r="E2" s="25">
        <f>C2-D2</f>
        <v>1113.39</v>
      </c>
      <c r="F2" s="44">
        <v>18754.8171360008</v>
      </c>
      <c r="G2" s="25">
        <f>E2*F2</f>
        <v>20881425.85</v>
      </c>
      <c r="H2" s="24">
        <v>46000.0</v>
      </c>
      <c r="I2" s="25">
        <f>G2-H2</f>
        <v>20835425.85</v>
      </c>
      <c r="K2" s="25">
        <f>I2/50</f>
        <v>416708.517</v>
      </c>
      <c r="M2" s="25">
        <f>C2*F2/50</f>
        <v>436987.2393</v>
      </c>
    </row>
    <row r="8">
      <c r="H8" s="25">
        <f>D2/C2*100</f>
        <v>4.430042918</v>
      </c>
    </row>
    <row r="13">
      <c r="A13" s="24" t="s">
        <v>409</v>
      </c>
      <c r="B13" s="24" t="s">
        <v>410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411</v>
      </c>
      <c r="B1" s="24" t="s">
        <v>412</v>
      </c>
      <c r="C1" s="25">
        <f>295000*50+350*20000</f>
        <v>21750000</v>
      </c>
      <c r="D1" s="25">
        <f>350000*50+350*20000</f>
        <v>24500000</v>
      </c>
    </row>
    <row r="2">
      <c r="B2" s="24" t="s">
        <v>413</v>
      </c>
      <c r="C2" s="25">
        <f>450000*13</f>
        <v>5850000</v>
      </c>
    </row>
    <row r="3">
      <c r="B3" s="24" t="s">
        <v>414</v>
      </c>
      <c r="C3" s="25">
        <f>525000*13</f>
        <v>6825000</v>
      </c>
    </row>
    <row r="11">
      <c r="D11" s="31"/>
      <c r="E11" s="31"/>
      <c r="F11" s="34"/>
      <c r="G11" s="34"/>
    </row>
    <row r="12">
      <c r="D12" s="31"/>
      <c r="E12" s="31"/>
      <c r="F12" s="34"/>
      <c r="G12" s="31"/>
    </row>
    <row r="13">
      <c r="D13" s="31"/>
      <c r="E13" s="31"/>
      <c r="F13" s="34"/>
      <c r="G13" s="31"/>
    </row>
    <row r="14">
      <c r="D14" s="31"/>
      <c r="E14" s="31"/>
      <c r="F14" s="31"/>
      <c r="G14" s="31"/>
    </row>
  </sheetData>
  <drawing r:id="rId1"/>
</worksheet>
</file>