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updateLinks="always" codeName="ThisWorkbook"/>
  <mc:AlternateContent xmlns:mc="http://schemas.openxmlformats.org/markup-compatibility/2006">
    <mc:Choice Requires="x15">
      <x15ac:absPath xmlns:x15ac="http://schemas.microsoft.com/office/spreadsheetml/2010/11/ac" url="https://d.docs.live.net/0e469dd64885c4a1/Documents/"/>
    </mc:Choice>
  </mc:AlternateContent>
  <xr:revisionPtr revIDLastSave="221" documentId="8_{FCEC7B07-8716-4C73-8C8C-B217C8E714D4}" xr6:coauthVersionLast="45" xr6:coauthVersionMax="45" xr10:uidLastSave="{6A1D5C4C-8602-4ACF-AA49-F94D8B81691A}"/>
  <bookViews>
    <workbookView xWindow="2880" yWindow="1740" windowWidth="21555" windowHeight="14460" tabRatio="818" xr2:uid="{00000000-000D-0000-FFFF-FFFF00000000}"/>
  </bookViews>
  <sheets>
    <sheet name="Mobile View" sheetId="6" r:id="rId1"/>
    <sheet name="Dashboard" sheetId="1" r:id="rId2"/>
    <sheet name="Forms; Income &amp; Bills" sheetId="7" r:id="rId3"/>
    <sheet name="Data Preparation" sheetId="5" r:id="rId4"/>
    <sheet name="Documentation" sheetId="8" r:id="rId5"/>
  </sheets>
  <definedNames>
    <definedName name="end_date">Dashboard!$L$2</definedName>
    <definedName name="forecast_fluct">INDEX('Data Preparation'!$AF$1:$AF$525, MATCH(TODAY(),'Data Preparation'!$AC$1:$AC$525, 0)):INDEX('Data Preparation'!$AF$1:$AF$525, MATCH(Dashboard!$L$2,'Data Preparation'!$AC$1:$AC$525, 0))</definedName>
    <definedName name="forecast_minpoint">INDEX('Data Preparation'!$AG$1:$AG$525, MATCH(TODAY(),'Data Preparation'!$AC$1:$AC$525, 0)):INDEX('Data Preparation'!$AG$1:$AG$525, MATCH(Dashboard!$L$2,'Data Preparation'!$AC$1:$AC$525, 0))</definedName>
    <definedName name="forecast_monday_x">INDEX('Data Preparation'!$Z$1:$Z$525, MATCH(TODAY(),'Data Preparation'!$AC$1:$AC$525, 0)):INDEX('Data Preparation'!$Z$1:$Z$525, MATCH(Dashboard!$L$2,'Data Preparation'!$AC$1:$AC$525, 0))</definedName>
    <definedName name="forecast_x">INDEX('Data Preparation'!$AA$1:$AA$525, MATCH(TODAY(),'Data Preparation'!$AC$1:$AC$525, 0)):INDEX('Data Preparation'!$AB$1:$AB$525, MATCH(Dashboard!$L$2,'Data Preparation'!$AC$1:$AC$525, 0))</definedName>
    <definedName name="forecast_y">INDEX('Data Preparation'!$AE$1:$AE$525, MATCH(TODAY(),'Data Preparation'!$AC$1:$AC$525, 0)):INDEX('Data Preparation'!$AE$1:$AE$525, MATCH(Dashboard!$L$2,'Data Preparation'!$AC$1:$AC$525, 0))</definedName>
    <definedName name="start_date">Dashboard!$C$2</definedName>
  </definedName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8" l="1"/>
  <c r="C5" i="8"/>
  <c r="D5" i="8"/>
  <c r="E5" i="8"/>
  <c r="F5" i="8"/>
  <c r="G5" i="8"/>
  <c r="H5" i="8"/>
  <c r="I5" i="8"/>
  <c r="B6" i="8"/>
  <c r="C6" i="8"/>
  <c r="D6" i="8"/>
  <c r="E6" i="8"/>
  <c r="F6" i="8"/>
  <c r="G6" i="8"/>
  <c r="H6" i="8"/>
  <c r="I6" i="8"/>
  <c r="B7" i="8"/>
  <c r="C7" i="8"/>
  <c r="D7" i="8"/>
  <c r="E7" i="8"/>
  <c r="F7" i="8"/>
  <c r="G7" i="8"/>
  <c r="H7" i="8"/>
  <c r="I7" i="8"/>
  <c r="B8" i="8"/>
  <c r="C8" i="8"/>
  <c r="D8" i="8"/>
  <c r="E8" i="8"/>
  <c r="F8" i="8"/>
  <c r="G8" i="8"/>
  <c r="H8" i="8"/>
  <c r="I8" i="8"/>
  <c r="B9" i="8"/>
  <c r="C9" i="8"/>
  <c r="D9" i="8"/>
  <c r="E9" i="8"/>
  <c r="F9" i="8"/>
  <c r="G9" i="8"/>
  <c r="H9" i="8"/>
  <c r="I9" i="8"/>
  <c r="B10" i="8"/>
  <c r="C10" i="8"/>
  <c r="D10" i="8"/>
  <c r="E10" i="8"/>
  <c r="F10" i="8"/>
  <c r="G10" i="8"/>
  <c r="H10" i="8"/>
  <c r="I10" i="8"/>
  <c r="B11" i="8"/>
  <c r="C11" i="8"/>
  <c r="D11" i="8"/>
  <c r="E11" i="8"/>
  <c r="F11" i="8"/>
  <c r="G11" i="8"/>
  <c r="H11" i="8"/>
  <c r="I11" i="8"/>
  <c r="B12" i="8"/>
  <c r="C12" i="8"/>
  <c r="D12" i="8"/>
  <c r="E12" i="8"/>
  <c r="F12" i="8"/>
  <c r="G12" i="8"/>
  <c r="H12" i="8"/>
  <c r="I12" i="8"/>
  <c r="B13" i="8"/>
  <c r="C13" i="8"/>
  <c r="D13" i="8"/>
  <c r="E13" i="8"/>
  <c r="F13" i="8"/>
  <c r="G13" i="8"/>
  <c r="H13" i="8"/>
  <c r="I13" i="8"/>
  <c r="B14" i="8"/>
  <c r="C14" i="8"/>
  <c r="D14" i="8"/>
  <c r="E14" i="8"/>
  <c r="F14" i="8"/>
  <c r="G14" i="8"/>
  <c r="H14" i="8"/>
  <c r="I14" i="8"/>
  <c r="B15" i="8"/>
  <c r="C15" i="8"/>
  <c r="D15" i="8"/>
  <c r="E15" i="8"/>
  <c r="F15" i="8"/>
  <c r="G15" i="8"/>
  <c r="H15" i="8"/>
  <c r="I15" i="8"/>
  <c r="B16" i="8"/>
  <c r="C16" i="8"/>
  <c r="D16" i="8"/>
  <c r="E16" i="8"/>
  <c r="F16" i="8"/>
  <c r="G16" i="8"/>
  <c r="H16" i="8"/>
  <c r="I16" i="8"/>
  <c r="B17" i="8"/>
  <c r="C17" i="8"/>
  <c r="D17" i="8"/>
  <c r="E17" i="8"/>
  <c r="F17" i="8"/>
  <c r="G17" i="8"/>
  <c r="H17" i="8"/>
  <c r="I17" i="8"/>
  <c r="B18" i="8"/>
  <c r="C18" i="8"/>
  <c r="D18" i="8"/>
  <c r="E18" i="8"/>
  <c r="F18" i="8"/>
  <c r="G18" i="8"/>
  <c r="H18" i="8"/>
  <c r="I18" i="8"/>
  <c r="B19" i="8"/>
  <c r="C19" i="8"/>
  <c r="D19" i="8"/>
  <c r="E19" i="8"/>
  <c r="F19" i="8"/>
  <c r="G19" i="8"/>
  <c r="H19" i="8"/>
  <c r="I19" i="8"/>
  <c r="B20" i="8"/>
  <c r="C20" i="8"/>
  <c r="D20" i="8"/>
  <c r="E20" i="8"/>
  <c r="F20" i="8"/>
  <c r="G20" i="8"/>
  <c r="H20" i="8"/>
  <c r="I20" i="8"/>
  <c r="B21" i="8"/>
  <c r="C21" i="8"/>
  <c r="D21" i="8"/>
  <c r="E21" i="8"/>
  <c r="F21" i="8"/>
  <c r="G21" i="8"/>
  <c r="H21" i="8"/>
  <c r="I21" i="8"/>
  <c r="B22" i="8"/>
  <c r="C22" i="8"/>
  <c r="D22" i="8"/>
  <c r="E22" i="8"/>
  <c r="F22" i="8"/>
  <c r="G22" i="8"/>
  <c r="H22" i="8"/>
  <c r="I22" i="8"/>
  <c r="B23" i="8"/>
  <c r="C23" i="8"/>
  <c r="D23" i="8"/>
  <c r="E23" i="8"/>
  <c r="F23" i="8"/>
  <c r="G23" i="8"/>
  <c r="H23" i="8"/>
  <c r="I23" i="8"/>
  <c r="B24" i="8"/>
  <c r="C24" i="8"/>
  <c r="D24" i="8"/>
  <c r="E24" i="8"/>
  <c r="F24" i="8"/>
  <c r="G24" i="8"/>
  <c r="H24" i="8"/>
  <c r="I24" i="8"/>
  <c r="B25" i="8"/>
  <c r="C25" i="8"/>
  <c r="D25" i="8"/>
  <c r="E25" i="8"/>
  <c r="F25" i="8"/>
  <c r="G25" i="8"/>
  <c r="H25" i="8"/>
  <c r="I25" i="8"/>
  <c r="AC2" i="5"/>
  <c r="AC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15" i="5"/>
  <c r="AC116" i="5"/>
  <c r="AC117" i="5"/>
  <c r="AC118" i="5"/>
  <c r="AC119" i="5"/>
  <c r="AC120" i="5"/>
  <c r="AC121" i="5"/>
  <c r="AC122" i="5"/>
  <c r="AC123" i="5"/>
  <c r="AC124" i="5"/>
  <c r="AC125" i="5"/>
  <c r="AC126" i="5"/>
  <c r="AC127" i="5"/>
  <c r="AC128" i="5"/>
  <c r="AC129" i="5"/>
  <c r="AC130" i="5"/>
  <c r="AC131" i="5"/>
  <c r="AC132" i="5"/>
  <c r="AC133" i="5"/>
  <c r="AC134" i="5"/>
  <c r="AC135" i="5"/>
  <c r="AC136" i="5"/>
  <c r="AC137" i="5"/>
  <c r="AC138" i="5"/>
  <c r="AC139" i="5"/>
  <c r="AC140" i="5"/>
  <c r="AC141" i="5"/>
  <c r="AC142" i="5"/>
  <c r="AC143" i="5"/>
  <c r="AC144" i="5"/>
  <c r="AC145" i="5"/>
  <c r="AC146" i="5"/>
  <c r="AC147" i="5"/>
  <c r="AC148" i="5"/>
  <c r="AC149" i="5"/>
  <c r="AC150" i="5"/>
  <c r="AC151" i="5"/>
  <c r="AC152" i="5"/>
  <c r="AC153" i="5"/>
  <c r="AC154" i="5"/>
  <c r="AC155" i="5"/>
  <c r="AC156" i="5"/>
  <c r="AC157" i="5"/>
  <c r="AC158" i="5"/>
  <c r="AC159" i="5"/>
  <c r="AC160" i="5"/>
  <c r="AC161" i="5"/>
  <c r="AC162" i="5"/>
  <c r="AC163" i="5"/>
  <c r="AC164" i="5"/>
  <c r="AC165" i="5"/>
  <c r="AC166" i="5"/>
  <c r="AC167" i="5"/>
  <c r="AC168" i="5"/>
  <c r="AC169" i="5"/>
  <c r="AC170" i="5"/>
  <c r="AC171" i="5"/>
  <c r="AC172" i="5"/>
  <c r="AC173" i="5"/>
  <c r="AC174" i="5"/>
  <c r="AC175" i="5"/>
  <c r="AC176" i="5"/>
  <c r="AC177" i="5"/>
  <c r="AC178" i="5"/>
  <c r="AC179" i="5"/>
  <c r="AC180" i="5"/>
  <c r="AC181" i="5"/>
  <c r="AC182" i="5"/>
  <c r="AC183" i="5"/>
  <c r="AC184" i="5"/>
  <c r="B2" i="5"/>
  <c r="A2" i="5"/>
  <c r="B3" i="5"/>
  <c r="A3" i="5"/>
  <c r="B4" i="5"/>
  <c r="A4" i="5"/>
  <c r="B5" i="5"/>
  <c r="A5" i="5"/>
  <c r="B6" i="5"/>
  <c r="A6" i="5"/>
  <c r="B7" i="5"/>
  <c r="A7" i="5"/>
  <c r="B8" i="5"/>
  <c r="A8" i="5"/>
  <c r="B9" i="5"/>
  <c r="A9" i="5"/>
  <c r="B10" i="5"/>
  <c r="A10" i="5"/>
  <c r="B11" i="5"/>
  <c r="A11" i="5"/>
  <c r="B12" i="5"/>
  <c r="A12" i="5"/>
  <c r="B13" i="5"/>
  <c r="A13" i="5"/>
  <c r="B14" i="5"/>
  <c r="A14" i="5"/>
  <c r="B15" i="5"/>
  <c r="A15" i="5"/>
  <c r="B16" i="5"/>
  <c r="A16" i="5"/>
  <c r="B17" i="5"/>
  <c r="A17" i="5"/>
  <c r="B18" i="5"/>
  <c r="A18" i="5"/>
  <c r="B19" i="5"/>
  <c r="A19" i="5"/>
  <c r="B20" i="5"/>
  <c r="A20" i="5"/>
  <c r="B21" i="5"/>
  <c r="A21" i="5"/>
  <c r="B22" i="5"/>
  <c r="A22" i="5"/>
  <c r="B23" i="5"/>
  <c r="A23" i="5"/>
  <c r="B24" i="5"/>
  <c r="A24" i="5"/>
  <c r="B25" i="5"/>
  <c r="A25" i="5"/>
  <c r="B26" i="5"/>
  <c r="A26" i="5"/>
  <c r="B27" i="5"/>
  <c r="A27" i="5"/>
  <c r="B28" i="5"/>
  <c r="A28" i="5"/>
  <c r="B29" i="5"/>
  <c r="A29" i="5"/>
  <c r="B30" i="5"/>
  <c r="A30" i="5"/>
  <c r="B31" i="5"/>
  <c r="A31" i="5"/>
  <c r="B32" i="5"/>
  <c r="A32" i="5"/>
  <c r="B33" i="5"/>
  <c r="A33" i="5"/>
  <c r="B34" i="5"/>
  <c r="A34" i="5"/>
  <c r="B35" i="5"/>
  <c r="A35" i="5"/>
  <c r="B36" i="5"/>
  <c r="A36" i="5"/>
  <c r="B37" i="5"/>
  <c r="A37" i="5"/>
  <c r="B38" i="5"/>
  <c r="A38" i="5"/>
  <c r="B39" i="5"/>
  <c r="A39" i="5"/>
  <c r="B40" i="5"/>
  <c r="A40" i="5"/>
  <c r="B41" i="5"/>
  <c r="A41" i="5"/>
  <c r="B42" i="5"/>
  <c r="A42" i="5"/>
  <c r="B43" i="5"/>
  <c r="A43" i="5"/>
  <c r="B44" i="5"/>
  <c r="A44" i="5"/>
  <c r="B45" i="5"/>
  <c r="A45" i="5"/>
  <c r="B46" i="5"/>
  <c r="A46" i="5"/>
  <c r="B47" i="5"/>
  <c r="A47" i="5"/>
  <c r="B48" i="5"/>
  <c r="A48" i="5"/>
  <c r="B49" i="5"/>
  <c r="A49" i="5"/>
  <c r="B50" i="5"/>
  <c r="A50" i="5"/>
  <c r="B51" i="5"/>
  <c r="A51" i="5"/>
  <c r="E2" i="5"/>
  <c r="D2" i="5"/>
  <c r="E3" i="5"/>
  <c r="D3" i="5"/>
  <c r="E4" i="5"/>
  <c r="D4" i="5"/>
  <c r="E5" i="5"/>
  <c r="D5" i="5"/>
  <c r="E6" i="5"/>
  <c r="D6" i="5"/>
  <c r="E7" i="5"/>
  <c r="D7" i="5"/>
  <c r="E8" i="5"/>
  <c r="D8" i="5"/>
  <c r="E9" i="5"/>
  <c r="D9" i="5"/>
  <c r="E10" i="5"/>
  <c r="D10" i="5"/>
  <c r="E11" i="5"/>
  <c r="D11" i="5"/>
  <c r="E12" i="5"/>
  <c r="D12" i="5"/>
  <c r="E13" i="5"/>
  <c r="D13" i="5"/>
  <c r="E14" i="5"/>
  <c r="D14" i="5"/>
  <c r="E15" i="5"/>
  <c r="D15" i="5"/>
  <c r="E16" i="5"/>
  <c r="D16" i="5"/>
  <c r="E17" i="5"/>
  <c r="D17" i="5"/>
  <c r="E18" i="5"/>
  <c r="D18" i="5"/>
  <c r="E19" i="5"/>
  <c r="D19" i="5"/>
  <c r="E20" i="5"/>
  <c r="D20" i="5"/>
  <c r="E21" i="5"/>
  <c r="D21" i="5"/>
  <c r="E22" i="5"/>
  <c r="D22" i="5"/>
  <c r="E23" i="5"/>
  <c r="D23" i="5"/>
  <c r="E24" i="5"/>
  <c r="D24" i="5"/>
  <c r="E25" i="5"/>
  <c r="D25" i="5"/>
  <c r="E26" i="5"/>
  <c r="D26" i="5"/>
  <c r="E27" i="5"/>
  <c r="D27" i="5"/>
  <c r="E28" i="5"/>
  <c r="D28" i="5"/>
  <c r="E29" i="5"/>
  <c r="D29" i="5"/>
  <c r="E30" i="5"/>
  <c r="D30" i="5"/>
  <c r="E31" i="5"/>
  <c r="D31" i="5"/>
  <c r="E32" i="5"/>
  <c r="D32" i="5"/>
  <c r="E33" i="5"/>
  <c r="D33" i="5"/>
  <c r="E34" i="5"/>
  <c r="D34" i="5"/>
  <c r="E35" i="5"/>
  <c r="D35" i="5"/>
  <c r="E36" i="5"/>
  <c r="D36" i="5"/>
  <c r="E37" i="5"/>
  <c r="D37" i="5"/>
  <c r="E38" i="5"/>
  <c r="D38" i="5"/>
  <c r="E39" i="5"/>
  <c r="D39" i="5"/>
  <c r="E40" i="5"/>
  <c r="D40" i="5"/>
  <c r="E41" i="5"/>
  <c r="D41" i="5"/>
  <c r="E42" i="5"/>
  <c r="D42" i="5"/>
  <c r="E43" i="5"/>
  <c r="D43" i="5"/>
  <c r="E44" i="5"/>
  <c r="D44" i="5"/>
  <c r="E45" i="5"/>
  <c r="D45" i="5"/>
  <c r="E46" i="5"/>
  <c r="D46" i="5"/>
  <c r="E47" i="5"/>
  <c r="D47" i="5"/>
  <c r="E48" i="5"/>
  <c r="D48" i="5"/>
  <c r="E49" i="5"/>
  <c r="D49" i="5"/>
  <c r="E50" i="5"/>
  <c r="D50" i="5"/>
  <c r="E51" i="5"/>
  <c r="D51" i="5"/>
  <c r="C51" i="5"/>
  <c r="H2" i="5"/>
  <c r="G2" i="5"/>
  <c r="H3" i="5"/>
  <c r="G3" i="5"/>
  <c r="H4" i="5"/>
  <c r="G4" i="5"/>
  <c r="H5" i="5"/>
  <c r="G5" i="5"/>
  <c r="H6" i="5"/>
  <c r="G6" i="5"/>
  <c r="H7" i="5"/>
  <c r="G7" i="5"/>
  <c r="H8" i="5"/>
  <c r="G8" i="5"/>
  <c r="H9" i="5"/>
  <c r="G9" i="5"/>
  <c r="H10" i="5"/>
  <c r="G10" i="5"/>
  <c r="H11" i="5"/>
  <c r="G11" i="5"/>
  <c r="H12" i="5"/>
  <c r="G12" i="5"/>
  <c r="H13" i="5"/>
  <c r="G13" i="5"/>
  <c r="H14" i="5"/>
  <c r="G14" i="5"/>
  <c r="H15" i="5"/>
  <c r="G15" i="5"/>
  <c r="H16" i="5"/>
  <c r="G16" i="5"/>
  <c r="H17" i="5"/>
  <c r="G17" i="5"/>
  <c r="H18" i="5"/>
  <c r="G18" i="5"/>
  <c r="H19" i="5"/>
  <c r="G19" i="5"/>
  <c r="H20" i="5"/>
  <c r="G20" i="5"/>
  <c r="H21" i="5"/>
  <c r="G21" i="5"/>
  <c r="H22" i="5"/>
  <c r="G22" i="5"/>
  <c r="H23" i="5"/>
  <c r="G23" i="5"/>
  <c r="H24" i="5"/>
  <c r="G24" i="5"/>
  <c r="H25" i="5"/>
  <c r="G25" i="5"/>
  <c r="H26" i="5"/>
  <c r="G26" i="5"/>
  <c r="H27" i="5"/>
  <c r="G27" i="5"/>
  <c r="H28" i="5"/>
  <c r="G28" i="5"/>
  <c r="H29" i="5"/>
  <c r="G29" i="5"/>
  <c r="H30" i="5"/>
  <c r="G30" i="5"/>
  <c r="H31" i="5"/>
  <c r="G31" i="5"/>
  <c r="H32" i="5"/>
  <c r="G32" i="5"/>
  <c r="H33" i="5"/>
  <c r="G33" i="5"/>
  <c r="H34" i="5"/>
  <c r="G34" i="5"/>
  <c r="H35" i="5"/>
  <c r="G35" i="5"/>
  <c r="H36" i="5"/>
  <c r="G36" i="5"/>
  <c r="H37" i="5"/>
  <c r="G37" i="5"/>
  <c r="H38" i="5"/>
  <c r="G38" i="5"/>
  <c r="H39" i="5"/>
  <c r="G39" i="5"/>
  <c r="H40" i="5"/>
  <c r="G40" i="5"/>
  <c r="H41" i="5"/>
  <c r="G41" i="5"/>
  <c r="H42" i="5"/>
  <c r="G42" i="5"/>
  <c r="H43" i="5"/>
  <c r="G43" i="5"/>
  <c r="H44" i="5"/>
  <c r="G44" i="5"/>
  <c r="H45" i="5"/>
  <c r="G45" i="5"/>
  <c r="H46" i="5"/>
  <c r="G46" i="5"/>
  <c r="H47" i="5"/>
  <c r="G47" i="5"/>
  <c r="H48" i="5"/>
  <c r="G48" i="5"/>
  <c r="H49" i="5"/>
  <c r="G49" i="5"/>
  <c r="H50" i="5"/>
  <c r="G50" i="5"/>
  <c r="H51" i="5"/>
  <c r="G51" i="5"/>
  <c r="K2" i="5"/>
  <c r="J2" i="5"/>
  <c r="K3" i="5"/>
  <c r="J3" i="5"/>
  <c r="K4" i="5"/>
  <c r="J4" i="5"/>
  <c r="K5" i="5"/>
  <c r="J5" i="5"/>
  <c r="K6" i="5"/>
  <c r="J6" i="5"/>
  <c r="K7" i="5"/>
  <c r="J7" i="5"/>
  <c r="K8" i="5"/>
  <c r="J8" i="5"/>
  <c r="K9" i="5"/>
  <c r="J9" i="5"/>
  <c r="K10" i="5"/>
  <c r="J10" i="5"/>
  <c r="K11" i="5"/>
  <c r="J11" i="5"/>
  <c r="K12" i="5"/>
  <c r="J12" i="5"/>
  <c r="K13" i="5"/>
  <c r="J13" i="5"/>
  <c r="K14" i="5"/>
  <c r="J14" i="5"/>
  <c r="K15" i="5"/>
  <c r="J15" i="5"/>
  <c r="K16" i="5"/>
  <c r="J16" i="5"/>
  <c r="K17" i="5"/>
  <c r="J17" i="5"/>
  <c r="K18" i="5"/>
  <c r="J18" i="5"/>
  <c r="K19" i="5"/>
  <c r="J19" i="5"/>
  <c r="K20" i="5"/>
  <c r="J20" i="5"/>
  <c r="K21" i="5"/>
  <c r="J21" i="5"/>
  <c r="K22" i="5"/>
  <c r="J22" i="5"/>
  <c r="K23" i="5"/>
  <c r="J23" i="5"/>
  <c r="K24" i="5"/>
  <c r="J24" i="5"/>
  <c r="K25" i="5"/>
  <c r="J25" i="5"/>
  <c r="K26" i="5"/>
  <c r="J26" i="5"/>
  <c r="K27" i="5"/>
  <c r="J27" i="5"/>
  <c r="K28" i="5"/>
  <c r="J28" i="5"/>
  <c r="K29" i="5"/>
  <c r="J29" i="5"/>
  <c r="K30" i="5"/>
  <c r="J30" i="5"/>
  <c r="K31" i="5"/>
  <c r="J31" i="5"/>
  <c r="K32" i="5"/>
  <c r="J32" i="5"/>
  <c r="K33" i="5"/>
  <c r="J33" i="5"/>
  <c r="K34" i="5"/>
  <c r="J34" i="5"/>
  <c r="K35" i="5"/>
  <c r="J35" i="5"/>
  <c r="K36" i="5"/>
  <c r="J36" i="5"/>
  <c r="K37" i="5"/>
  <c r="J37" i="5"/>
  <c r="K38" i="5"/>
  <c r="J38" i="5"/>
  <c r="K39" i="5"/>
  <c r="J39" i="5"/>
  <c r="K40" i="5"/>
  <c r="J40" i="5"/>
  <c r="K41" i="5"/>
  <c r="J41" i="5"/>
  <c r="K42" i="5"/>
  <c r="J42" i="5"/>
  <c r="K43" i="5"/>
  <c r="J43" i="5"/>
  <c r="K44" i="5"/>
  <c r="J44" i="5"/>
  <c r="K45" i="5"/>
  <c r="J45" i="5"/>
  <c r="K46" i="5"/>
  <c r="J46" i="5"/>
  <c r="K47" i="5"/>
  <c r="J47" i="5"/>
  <c r="K48" i="5"/>
  <c r="J48" i="5"/>
  <c r="K49" i="5"/>
  <c r="J49" i="5"/>
  <c r="K50" i="5"/>
  <c r="J50" i="5"/>
  <c r="K51" i="5"/>
  <c r="J51" i="5"/>
  <c r="N2" i="5"/>
  <c r="M2" i="5"/>
  <c r="N3" i="5"/>
  <c r="M3" i="5"/>
  <c r="N4" i="5"/>
  <c r="M4" i="5"/>
  <c r="N5" i="5"/>
  <c r="M5" i="5"/>
  <c r="N6" i="5"/>
  <c r="M6" i="5"/>
  <c r="N7" i="5"/>
  <c r="M7" i="5"/>
  <c r="N8" i="5"/>
  <c r="M8" i="5"/>
  <c r="N9" i="5"/>
  <c r="M9" i="5"/>
  <c r="N10" i="5"/>
  <c r="M10" i="5"/>
  <c r="N11" i="5"/>
  <c r="M11" i="5"/>
  <c r="N12" i="5"/>
  <c r="M12" i="5"/>
  <c r="N13" i="5"/>
  <c r="M13" i="5"/>
  <c r="N14" i="5"/>
  <c r="M14" i="5"/>
  <c r="N15" i="5"/>
  <c r="M15" i="5"/>
  <c r="N16" i="5"/>
  <c r="M16" i="5"/>
  <c r="N17" i="5"/>
  <c r="M17" i="5"/>
  <c r="N18" i="5"/>
  <c r="M18" i="5"/>
  <c r="N19" i="5"/>
  <c r="M19" i="5"/>
  <c r="N20" i="5"/>
  <c r="M20" i="5"/>
  <c r="N21" i="5"/>
  <c r="M21" i="5"/>
  <c r="N22" i="5"/>
  <c r="M22" i="5"/>
  <c r="N23" i="5"/>
  <c r="M23" i="5"/>
  <c r="N24" i="5"/>
  <c r="M24" i="5"/>
  <c r="N25" i="5"/>
  <c r="M25" i="5"/>
  <c r="N26" i="5"/>
  <c r="M26" i="5"/>
  <c r="N27" i="5"/>
  <c r="M27" i="5"/>
  <c r="N28" i="5"/>
  <c r="M28" i="5"/>
  <c r="N29" i="5"/>
  <c r="M29" i="5"/>
  <c r="N30" i="5"/>
  <c r="M30" i="5"/>
  <c r="N31" i="5"/>
  <c r="M31" i="5"/>
  <c r="N32" i="5"/>
  <c r="M32" i="5"/>
  <c r="N33" i="5"/>
  <c r="M33" i="5"/>
  <c r="N34" i="5"/>
  <c r="M34" i="5"/>
  <c r="N35" i="5"/>
  <c r="M35" i="5"/>
  <c r="N36" i="5"/>
  <c r="M36" i="5"/>
  <c r="N37" i="5"/>
  <c r="M37" i="5"/>
  <c r="N38" i="5"/>
  <c r="M38" i="5"/>
  <c r="N39" i="5"/>
  <c r="M39" i="5"/>
  <c r="N40" i="5"/>
  <c r="M40" i="5"/>
  <c r="N41" i="5"/>
  <c r="M41" i="5"/>
  <c r="N42" i="5"/>
  <c r="M42" i="5"/>
  <c r="N43" i="5"/>
  <c r="M43" i="5"/>
  <c r="N44" i="5"/>
  <c r="M44" i="5"/>
  <c r="N45" i="5"/>
  <c r="M45" i="5"/>
  <c r="N46" i="5"/>
  <c r="M46" i="5"/>
  <c r="N47" i="5"/>
  <c r="M47" i="5"/>
  <c r="N48" i="5"/>
  <c r="M48" i="5"/>
  <c r="N49" i="5"/>
  <c r="M49" i="5"/>
  <c r="N50" i="5"/>
  <c r="M50" i="5"/>
  <c r="N51" i="5"/>
  <c r="M51" i="5"/>
  <c r="Q2" i="5"/>
  <c r="P2" i="5"/>
  <c r="Q3" i="5"/>
  <c r="P3" i="5"/>
  <c r="Q4" i="5"/>
  <c r="P4" i="5"/>
  <c r="Q5" i="5"/>
  <c r="P5" i="5"/>
  <c r="Q6" i="5"/>
  <c r="P6" i="5"/>
  <c r="Q7" i="5"/>
  <c r="P7" i="5"/>
  <c r="Q8" i="5"/>
  <c r="P8" i="5"/>
  <c r="Q9" i="5"/>
  <c r="P9" i="5"/>
  <c r="Q10" i="5"/>
  <c r="P10" i="5"/>
  <c r="Q11" i="5"/>
  <c r="P11" i="5"/>
  <c r="Q12" i="5"/>
  <c r="P12" i="5"/>
  <c r="Q13" i="5"/>
  <c r="P13" i="5"/>
  <c r="Q14" i="5"/>
  <c r="P14" i="5"/>
  <c r="Q15" i="5"/>
  <c r="P15" i="5"/>
  <c r="Q16" i="5"/>
  <c r="P16" i="5"/>
  <c r="Q17" i="5"/>
  <c r="P17" i="5"/>
  <c r="Q18" i="5"/>
  <c r="P18" i="5"/>
  <c r="Q19" i="5"/>
  <c r="P19" i="5"/>
  <c r="Q20" i="5"/>
  <c r="P20" i="5"/>
  <c r="Q21" i="5"/>
  <c r="P21" i="5"/>
  <c r="Q22" i="5"/>
  <c r="P22" i="5"/>
  <c r="Q23" i="5"/>
  <c r="P23" i="5"/>
  <c r="Q24" i="5"/>
  <c r="P24" i="5"/>
  <c r="Q25" i="5"/>
  <c r="P25" i="5"/>
  <c r="Q26" i="5"/>
  <c r="P26" i="5"/>
  <c r="Q27" i="5"/>
  <c r="P27" i="5"/>
  <c r="Q28" i="5"/>
  <c r="P28" i="5"/>
  <c r="Q29" i="5"/>
  <c r="P29" i="5"/>
  <c r="Q30" i="5"/>
  <c r="P30" i="5"/>
  <c r="Q31" i="5"/>
  <c r="P31" i="5"/>
  <c r="Q32" i="5"/>
  <c r="P32" i="5"/>
  <c r="Q33" i="5"/>
  <c r="P33" i="5"/>
  <c r="Q34" i="5"/>
  <c r="P34" i="5"/>
  <c r="Q35" i="5"/>
  <c r="P35" i="5"/>
  <c r="Q36" i="5"/>
  <c r="P36" i="5"/>
  <c r="Q37" i="5"/>
  <c r="P37" i="5"/>
  <c r="Q38" i="5"/>
  <c r="P38" i="5"/>
  <c r="Q39" i="5"/>
  <c r="P39" i="5"/>
  <c r="Q40" i="5"/>
  <c r="P40" i="5"/>
  <c r="Q41" i="5"/>
  <c r="P41" i="5"/>
  <c r="Q42" i="5"/>
  <c r="P42" i="5"/>
  <c r="Q43" i="5"/>
  <c r="P43" i="5"/>
  <c r="Q44" i="5"/>
  <c r="P44" i="5"/>
  <c r="Q45" i="5"/>
  <c r="P45" i="5"/>
  <c r="Q46" i="5"/>
  <c r="P46" i="5"/>
  <c r="Q47" i="5"/>
  <c r="P47" i="5"/>
  <c r="Q48" i="5"/>
  <c r="P48" i="5"/>
  <c r="Q49" i="5"/>
  <c r="P49" i="5"/>
  <c r="Q50" i="5"/>
  <c r="P50" i="5"/>
  <c r="Q51" i="5"/>
  <c r="P51" i="5"/>
  <c r="T2" i="5"/>
  <c r="S2" i="5"/>
  <c r="T3" i="5"/>
  <c r="S3" i="5"/>
  <c r="T4" i="5"/>
  <c r="S4" i="5"/>
  <c r="T5" i="5"/>
  <c r="S5" i="5"/>
  <c r="T6" i="5"/>
  <c r="S6" i="5"/>
  <c r="T7" i="5"/>
  <c r="S7" i="5"/>
  <c r="T8" i="5"/>
  <c r="S8" i="5"/>
  <c r="T9" i="5"/>
  <c r="S9" i="5"/>
  <c r="T10" i="5"/>
  <c r="S10" i="5"/>
  <c r="T11" i="5"/>
  <c r="S11" i="5"/>
  <c r="T12" i="5"/>
  <c r="S12" i="5"/>
  <c r="T13" i="5"/>
  <c r="S13" i="5"/>
  <c r="T14" i="5"/>
  <c r="S14" i="5"/>
  <c r="T15" i="5"/>
  <c r="S15" i="5"/>
  <c r="T16" i="5"/>
  <c r="S16" i="5"/>
  <c r="T17" i="5"/>
  <c r="S17" i="5"/>
  <c r="T18" i="5"/>
  <c r="S18" i="5"/>
  <c r="T19" i="5"/>
  <c r="S19" i="5"/>
  <c r="T20" i="5"/>
  <c r="S20" i="5"/>
  <c r="T21" i="5"/>
  <c r="S21" i="5"/>
  <c r="T22" i="5"/>
  <c r="S22" i="5"/>
  <c r="T23" i="5"/>
  <c r="S23" i="5"/>
  <c r="T24" i="5"/>
  <c r="S24" i="5"/>
  <c r="T25" i="5"/>
  <c r="S25" i="5"/>
  <c r="T26" i="5"/>
  <c r="S26" i="5"/>
  <c r="T27" i="5"/>
  <c r="S27" i="5"/>
  <c r="T28" i="5"/>
  <c r="S28" i="5"/>
  <c r="T29" i="5"/>
  <c r="S29" i="5"/>
  <c r="T30" i="5"/>
  <c r="S30" i="5"/>
  <c r="T31" i="5"/>
  <c r="S31" i="5"/>
  <c r="T32" i="5"/>
  <c r="S32" i="5"/>
  <c r="T33" i="5"/>
  <c r="S33" i="5"/>
  <c r="T34" i="5"/>
  <c r="S34" i="5"/>
  <c r="T35" i="5"/>
  <c r="S35" i="5"/>
  <c r="T36" i="5"/>
  <c r="S36" i="5"/>
  <c r="T37" i="5"/>
  <c r="S37" i="5"/>
  <c r="T38" i="5"/>
  <c r="S38" i="5"/>
  <c r="T39" i="5"/>
  <c r="S39" i="5"/>
  <c r="T40" i="5"/>
  <c r="S40" i="5"/>
  <c r="T41" i="5"/>
  <c r="S41" i="5"/>
  <c r="T42" i="5"/>
  <c r="S42" i="5"/>
  <c r="T43" i="5"/>
  <c r="S43" i="5"/>
  <c r="T44" i="5"/>
  <c r="S44" i="5"/>
  <c r="T45" i="5"/>
  <c r="S45" i="5"/>
  <c r="T46" i="5"/>
  <c r="S46" i="5"/>
  <c r="T47" i="5"/>
  <c r="S47" i="5"/>
  <c r="T48" i="5"/>
  <c r="S48" i="5"/>
  <c r="T49" i="5"/>
  <c r="S49" i="5"/>
  <c r="T50" i="5"/>
  <c r="S50" i="5"/>
  <c r="T51" i="5"/>
  <c r="S51" i="5"/>
  <c r="J18" i="1"/>
  <c r="D29" i="6"/>
  <c r="G29" i="6"/>
  <c r="G30" i="6"/>
  <c r="G31" i="6"/>
  <c r="G32" i="6"/>
  <c r="G33" i="6"/>
  <c r="G34" i="6"/>
  <c r="G35" i="6"/>
  <c r="G36" i="6"/>
  <c r="G37" i="6"/>
  <c r="G38" i="6"/>
  <c r="G39" i="6"/>
  <c r="G2" i="8"/>
  <c r="I2" i="8"/>
  <c r="H2" i="8"/>
  <c r="AI2" i="5"/>
  <c r="AJ2" i="5"/>
  <c r="AI3" i="5"/>
  <c r="AJ3" i="5"/>
  <c r="AI4" i="5"/>
  <c r="AJ4" i="5"/>
  <c r="AI5" i="5"/>
  <c r="AJ5" i="5"/>
  <c r="AI6" i="5"/>
  <c r="AJ6" i="5"/>
  <c r="AI7" i="5"/>
  <c r="AJ7" i="5"/>
  <c r="AI8" i="5"/>
  <c r="AJ8" i="5"/>
  <c r="AI9" i="5"/>
  <c r="AJ9" i="5"/>
  <c r="J29" i="1"/>
  <c r="K29" i="1"/>
  <c r="L29" i="1"/>
  <c r="J19" i="1"/>
  <c r="J20" i="1"/>
  <c r="J21" i="1"/>
  <c r="J22" i="1"/>
  <c r="J23" i="1"/>
  <c r="J24" i="1"/>
  <c r="J25" i="1"/>
  <c r="J26" i="1"/>
  <c r="J27" i="1"/>
  <c r="J28" i="1"/>
  <c r="J30" i="1"/>
  <c r="D26" i="1"/>
  <c r="AL2" i="5"/>
  <c r="AL3" i="5"/>
  <c r="AL4" i="5"/>
  <c r="AL5" i="5"/>
  <c r="AL6" i="5"/>
  <c r="AL7" i="5"/>
  <c r="AL8" i="5"/>
  <c r="AL9" i="5"/>
  <c r="AQ2" i="5"/>
  <c r="AQ3" i="5"/>
  <c r="AQ4" i="5"/>
  <c r="AQ5" i="5"/>
  <c r="AQ6" i="5"/>
  <c r="AQ7" i="5"/>
  <c r="AQ8" i="5"/>
  <c r="AQ9" i="5"/>
  <c r="D25" i="1"/>
  <c r="D27" i="1"/>
  <c r="J31" i="1"/>
  <c r="AO2" i="5"/>
  <c r="AN2" i="5"/>
  <c r="AP2" i="5"/>
  <c r="AO3" i="5"/>
  <c r="AN3" i="5"/>
  <c r="AP3" i="5"/>
  <c r="AO4" i="5"/>
  <c r="AN4" i="5"/>
  <c r="AP4" i="5"/>
  <c r="AN5" i="5"/>
  <c r="AP5" i="5"/>
  <c r="AN6" i="5"/>
  <c r="AP6" i="5"/>
  <c r="AN7" i="5"/>
  <c r="AP7" i="5"/>
  <c r="AN8" i="5"/>
  <c r="AP8" i="5"/>
  <c r="AN9" i="5"/>
  <c r="AP9" i="5"/>
  <c r="AT2" i="5"/>
  <c r="AS2" i="5"/>
  <c r="AU2" i="5"/>
  <c r="AT3" i="5"/>
  <c r="AS3" i="5"/>
  <c r="AU3" i="5"/>
  <c r="AT4" i="5"/>
  <c r="AS4" i="5"/>
  <c r="AU4" i="5"/>
  <c r="AS5" i="5"/>
  <c r="AU5" i="5"/>
  <c r="AS6" i="5"/>
  <c r="AU6" i="5"/>
  <c r="AS7" i="5"/>
  <c r="AU7" i="5"/>
  <c r="AS8" i="5"/>
  <c r="AU8" i="5"/>
  <c r="AS9" i="5"/>
  <c r="AU9" i="5"/>
  <c r="AV2" i="5"/>
  <c r="AV3" i="5"/>
  <c r="AV4" i="5"/>
  <c r="AK2" i="5"/>
  <c r="AK3" i="5"/>
  <c r="AK4" i="5"/>
  <c r="AK5" i="5"/>
  <c r="AK6" i="5"/>
  <c r="AK7" i="5"/>
  <c r="AK8" i="5"/>
  <c r="AK9" i="5"/>
  <c r="M13" i="7"/>
  <c r="M14" i="7"/>
  <c r="M15" i="7"/>
  <c r="M16" i="7"/>
  <c r="M17" i="7"/>
  <c r="M18" i="7"/>
  <c r="M19" i="7"/>
  <c r="M20" i="7"/>
  <c r="M21" i="7"/>
  <c r="M22" i="7"/>
  <c r="M23" i="7"/>
  <c r="M24" i="7"/>
  <c r="M25" i="7"/>
  <c r="M26" i="7"/>
  <c r="M27" i="7"/>
  <c r="M28" i="7"/>
  <c r="M29" i="7"/>
  <c r="M30" i="7"/>
  <c r="M31" i="7"/>
  <c r="M32" i="7"/>
  <c r="M33" i="7"/>
  <c r="M34" i="7"/>
  <c r="M35" i="7"/>
  <c r="N36" i="7"/>
  <c r="D20" i="1"/>
  <c r="D22" i="1"/>
  <c r="T13" i="7"/>
  <c r="T14" i="7"/>
  <c r="T16" i="7"/>
  <c r="T17" i="7"/>
  <c r="T18" i="7"/>
  <c r="T19" i="7"/>
  <c r="T20" i="7"/>
  <c r="T21" i="7"/>
  <c r="T22" i="7"/>
  <c r="T23" i="7"/>
  <c r="T24" i="7"/>
  <c r="T25" i="7"/>
  <c r="T26" i="7"/>
  <c r="T27" i="7"/>
  <c r="T35" i="7"/>
  <c r="U36" i="7"/>
  <c r="G36" i="7"/>
  <c r="AV5" i="5"/>
  <c r="AV6" i="5"/>
  <c r="AV7" i="5"/>
  <c r="AV8" i="5"/>
  <c r="AV9" i="5"/>
  <c r="D23" i="1"/>
  <c r="O28" i="7"/>
  <c r="O13" i="7"/>
  <c r="O14" i="7"/>
  <c r="O15" i="7"/>
  <c r="O16" i="7"/>
  <c r="O17" i="7"/>
  <c r="O18" i="7"/>
  <c r="O19" i="7"/>
  <c r="O20" i="7"/>
  <c r="O21" i="7"/>
  <c r="O22" i="7"/>
  <c r="O23" i="7"/>
  <c r="O24" i="7"/>
  <c r="O25" i="7"/>
  <c r="O26" i="7"/>
  <c r="O27" i="7"/>
  <c r="O29" i="7"/>
  <c r="O30" i="7"/>
  <c r="O31" i="7"/>
  <c r="O32" i="7"/>
  <c r="O33" i="7"/>
  <c r="O34" i="7"/>
  <c r="O35" i="7"/>
  <c r="AO5" i="5"/>
  <c r="AT5" i="5"/>
  <c r="AO6" i="5"/>
  <c r="AT6" i="5"/>
  <c r="AO7" i="5"/>
  <c r="AT7" i="5"/>
  <c r="AO8" i="5"/>
  <c r="AT8" i="5"/>
  <c r="AO9" i="5"/>
  <c r="AT9" i="5"/>
  <c r="AZ2" i="5"/>
  <c r="AZ3" i="5"/>
  <c r="AZ4" i="5"/>
  <c r="AZ5" i="5"/>
  <c r="AX5" i="5"/>
  <c r="AY5" i="5"/>
  <c r="AZ6" i="5"/>
  <c r="AX6" i="5"/>
  <c r="AY6" i="5"/>
  <c r="AZ7" i="5"/>
  <c r="AX7" i="5"/>
  <c r="AY7" i="5"/>
  <c r="AZ8" i="5"/>
  <c r="AX8" i="5"/>
  <c r="AY8" i="5"/>
  <c r="AZ9" i="5"/>
  <c r="AX9" i="5"/>
  <c r="AY9" i="5"/>
  <c r="A7" i="7"/>
  <c r="A8" i="7"/>
  <c r="A9" i="7"/>
  <c r="A10" i="7"/>
  <c r="A6" i="7"/>
  <c r="H28" i="7"/>
  <c r="H29" i="7"/>
  <c r="H30" i="7"/>
  <c r="H31" i="7"/>
  <c r="H32" i="7"/>
  <c r="H33" i="7"/>
  <c r="H34" i="7"/>
  <c r="H35" i="7"/>
  <c r="V35" i="7"/>
  <c r="V28" i="7"/>
  <c r="V29" i="7"/>
  <c r="V30" i="7"/>
  <c r="V31" i="7"/>
  <c r="V32" i="7"/>
  <c r="V33" i="7"/>
  <c r="V34" i="7"/>
  <c r="L18" i="1"/>
  <c r="L19" i="1"/>
  <c r="L20" i="1"/>
  <c r="L21" i="1"/>
  <c r="L22" i="1"/>
  <c r="L23" i="1"/>
  <c r="L24" i="1"/>
  <c r="L25" i="1"/>
  <c r="L26" i="1"/>
  <c r="L27" i="1"/>
  <c r="L28" i="1"/>
  <c r="E27" i="6"/>
  <c r="D18" i="6"/>
  <c r="D17" i="6"/>
  <c r="AE2" i="5"/>
  <c r="AF2" i="5"/>
  <c r="AA2" i="5"/>
  <c r="AA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56" i="5"/>
  <c r="AA157" i="5"/>
  <c r="AA158"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D181" i="5"/>
  <c r="AD182" i="5"/>
  <c r="AD183" i="5"/>
  <c r="AD184" i="5"/>
  <c r="H36" i="7"/>
  <c r="V36" i="7"/>
  <c r="H27" i="7"/>
  <c r="V27" i="7"/>
  <c r="H26" i="7"/>
  <c r="V26" i="7"/>
  <c r="H25" i="7"/>
  <c r="V25" i="7"/>
  <c r="H24" i="7"/>
  <c r="V24" i="7"/>
  <c r="H23" i="7"/>
  <c r="V23" i="7"/>
  <c r="H22" i="7"/>
  <c r="V22" i="7"/>
  <c r="H21" i="7"/>
  <c r="V21" i="7"/>
  <c r="H20" i="7"/>
  <c r="V20" i="7"/>
  <c r="H19" i="7"/>
  <c r="V19" i="7"/>
  <c r="H18" i="7"/>
  <c r="V18" i="7"/>
  <c r="H17" i="7"/>
  <c r="V17" i="7"/>
  <c r="H16" i="7"/>
  <c r="V16" i="7"/>
  <c r="H15" i="7"/>
  <c r="V15" i="7"/>
  <c r="H14" i="7"/>
  <c r="V14" i="7"/>
  <c r="H13" i="7"/>
  <c r="V13" i="7"/>
  <c r="AB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15" i="5"/>
  <c r="AB116" i="5"/>
  <c r="AB117" i="5"/>
  <c r="AB118" i="5"/>
  <c r="AB119" i="5"/>
  <c r="AB120" i="5"/>
  <c r="AB121" i="5"/>
  <c r="AB122" i="5"/>
  <c r="AB123" i="5"/>
  <c r="AB124" i="5"/>
  <c r="AB125" i="5"/>
  <c r="AB126" i="5"/>
  <c r="AB127" i="5"/>
  <c r="AB128" i="5"/>
  <c r="AB129" i="5"/>
  <c r="AB130" i="5"/>
  <c r="AB131" i="5"/>
  <c r="AB132" i="5"/>
  <c r="AB133" i="5"/>
  <c r="AB134" i="5"/>
  <c r="AB135" i="5"/>
  <c r="AB136" i="5"/>
  <c r="AB137" i="5"/>
  <c r="AB138" i="5"/>
  <c r="AB139" i="5"/>
  <c r="AB140" i="5"/>
  <c r="AB141" i="5"/>
  <c r="AB142" i="5"/>
  <c r="AB143" i="5"/>
  <c r="AB144" i="5"/>
  <c r="AB145" i="5"/>
  <c r="AB146" i="5"/>
  <c r="AB147" i="5"/>
  <c r="AB148" i="5"/>
  <c r="AB149" i="5"/>
  <c r="AB150" i="5"/>
  <c r="AB151" i="5"/>
  <c r="AB152" i="5"/>
  <c r="AB153" i="5"/>
  <c r="AB154" i="5"/>
  <c r="AB155" i="5"/>
  <c r="AB156" i="5"/>
  <c r="AB157" i="5"/>
  <c r="AB158" i="5"/>
  <c r="AB159" i="5"/>
  <c r="AB160" i="5"/>
  <c r="AB161" i="5"/>
  <c r="AB162" i="5"/>
  <c r="AB163" i="5"/>
  <c r="AB164" i="5"/>
  <c r="AB165" i="5"/>
  <c r="AB166" i="5"/>
  <c r="AB167" i="5"/>
  <c r="AB168" i="5"/>
  <c r="AB169" i="5"/>
  <c r="AB170" i="5"/>
  <c r="AB171" i="5"/>
  <c r="AB172" i="5"/>
  <c r="AB173" i="5"/>
  <c r="AB174" i="5"/>
  <c r="AB175" i="5"/>
  <c r="AB176" i="5"/>
  <c r="AB177" i="5"/>
  <c r="AB178" i="5"/>
  <c r="AB179" i="5"/>
  <c r="AB180" i="5"/>
  <c r="AB181" i="5"/>
  <c r="AB182" i="5"/>
  <c r="AB183" i="5"/>
  <c r="AB184"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AD2" i="5"/>
  <c r="F29" i="6"/>
  <c r="F30" i="6"/>
  <c r="F31" i="6"/>
  <c r="F32" i="6"/>
  <c r="F33" i="6"/>
  <c r="F34" i="6"/>
  <c r="F35" i="6"/>
  <c r="F36" i="6"/>
  <c r="F37" i="6"/>
  <c r="F38" i="6"/>
  <c r="F39" i="6"/>
  <c r="K19" i="1"/>
  <c r="E30" i="6"/>
  <c r="K20" i="1"/>
  <c r="E31" i="6"/>
  <c r="K21" i="1"/>
  <c r="E32" i="6"/>
  <c r="K22" i="1"/>
  <c r="E33" i="6"/>
  <c r="K23" i="1"/>
  <c r="E34" i="6"/>
  <c r="K24" i="1"/>
  <c r="E35" i="6"/>
  <c r="K25" i="1"/>
  <c r="E36" i="6"/>
  <c r="K26" i="1"/>
  <c r="E37" i="6"/>
  <c r="K27" i="1"/>
  <c r="E38" i="6"/>
  <c r="K28" i="1"/>
  <c r="E39" i="6"/>
  <c r="K18" i="1"/>
  <c r="E29" i="6"/>
  <c r="D30" i="6"/>
  <c r="D31" i="6"/>
  <c r="D32" i="6"/>
  <c r="D33" i="6"/>
  <c r="D34" i="6"/>
  <c r="D35" i="6"/>
  <c r="D36" i="6"/>
  <c r="D37" i="6"/>
  <c r="D38" i="6"/>
  <c r="D39" i="6"/>
  <c r="C30" i="6"/>
  <c r="C31" i="6"/>
  <c r="C32" i="6"/>
  <c r="C33" i="6"/>
  <c r="C34" i="6"/>
  <c r="C35" i="6"/>
  <c r="C36" i="6"/>
  <c r="C37" i="6"/>
  <c r="C38" i="6"/>
  <c r="C39" i="6"/>
  <c r="C29" i="6"/>
  <c r="B29" i="6"/>
  <c r="B30" i="6"/>
  <c r="B31" i="6"/>
  <c r="B32" i="6"/>
  <c r="B33" i="6"/>
  <c r="B34" i="6"/>
  <c r="B35" i="6"/>
  <c r="B36" i="6"/>
  <c r="B37" i="6"/>
  <c r="B38" i="6"/>
  <c r="B39" i="6"/>
  <c r="H30" i="1"/>
  <c r="K30" i="1"/>
  <c r="Z2" i="5"/>
  <c r="Z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D25" i="6"/>
  <c r="D24" i="6"/>
  <c r="D22" i="6"/>
  <c r="D21" i="6"/>
  <c r="C40" i="6"/>
  <c r="D26" i="6"/>
  <c r="D19" i="6"/>
  <c r="AB2" i="5"/>
  <c r="W27" i="5"/>
  <c r="W26" i="5"/>
  <c r="W25" i="5"/>
  <c r="W24" i="5"/>
  <c r="W23" i="5"/>
  <c r="W22" i="5"/>
  <c r="W21" i="5"/>
  <c r="W20" i="5"/>
  <c r="W19" i="5"/>
  <c r="W18" i="5"/>
  <c r="W17" i="5"/>
  <c r="W16" i="5"/>
  <c r="W15" i="5"/>
  <c r="W14" i="5"/>
  <c r="W13" i="5"/>
  <c r="W12" i="5"/>
  <c r="W11" i="5"/>
  <c r="W10" i="5"/>
  <c r="W9" i="5"/>
  <c r="W8" i="5"/>
  <c r="W7" i="5"/>
  <c r="W6" i="5"/>
  <c r="W5" i="5"/>
  <c r="W4" i="5"/>
  <c r="W3" i="5"/>
  <c r="M19" i="1"/>
  <c r="M20" i="1"/>
  <c r="M21" i="1"/>
  <c r="M22" i="1"/>
  <c r="M23" i="1"/>
  <c r="M24" i="1"/>
  <c r="M25" i="1"/>
  <c r="M26" i="1"/>
  <c r="M27" i="1"/>
  <c r="M28" i="1"/>
  <c r="M29" i="1"/>
  <c r="E25" i="6"/>
  <c r="M18" i="1"/>
  <c r="D40" i="6"/>
  <c r="E40" i="6"/>
  <c r="W2" i="5"/>
  <c r="AD180" i="5"/>
  <c r="AX3" i="5"/>
  <c r="AY3" i="5"/>
  <c r="AX4" i="5"/>
  <c r="AY4" i="5"/>
  <c r="AX2" i="5"/>
  <c r="AY2" i="5"/>
  <c r="X12" i="5"/>
  <c r="AD3" i="5"/>
  <c r="AE3" i="5"/>
  <c r="AF3" i="5"/>
  <c r="X13" i="5"/>
  <c r="AD4" i="5"/>
  <c r="AE4" i="5"/>
  <c r="AF4" i="5"/>
  <c r="X14" i="5"/>
  <c r="AD5" i="5"/>
  <c r="AE5" i="5"/>
  <c r="AF5" i="5"/>
  <c r="X15" i="5"/>
  <c r="AD6" i="5"/>
  <c r="AE6" i="5"/>
  <c r="AF6" i="5"/>
  <c r="X16" i="5"/>
  <c r="AD7" i="5"/>
  <c r="AE7" i="5"/>
  <c r="AF7" i="5"/>
  <c r="X17" i="5"/>
  <c r="AD8" i="5"/>
  <c r="AE8" i="5"/>
  <c r="AF8" i="5"/>
  <c r="X18" i="5"/>
  <c r="AD9" i="5"/>
  <c r="AE9" i="5"/>
  <c r="AF9" i="5"/>
  <c r="X19" i="5"/>
  <c r="AD10" i="5"/>
  <c r="AE10" i="5"/>
  <c r="AF10" i="5"/>
  <c r="X20" i="5"/>
  <c r="AD11" i="5"/>
  <c r="AE11" i="5"/>
  <c r="AF11" i="5"/>
  <c r="X21" i="5"/>
  <c r="AD12" i="5"/>
  <c r="AE12" i="5"/>
  <c r="AF12" i="5"/>
  <c r="X22" i="5"/>
  <c r="AD13" i="5"/>
  <c r="AE13" i="5"/>
  <c r="AF13" i="5"/>
  <c r="X23" i="5"/>
  <c r="AD14" i="5"/>
  <c r="AE14" i="5"/>
  <c r="AF14" i="5"/>
  <c r="X24" i="5"/>
  <c r="AD15" i="5"/>
  <c r="AE15" i="5"/>
  <c r="AF15" i="5"/>
  <c r="X25" i="5"/>
  <c r="AD16" i="5"/>
  <c r="AE16" i="5"/>
  <c r="AF16" i="5"/>
  <c r="X26" i="5"/>
  <c r="AD17" i="5"/>
  <c r="AE17" i="5"/>
  <c r="AF17" i="5"/>
  <c r="X27" i="5"/>
  <c r="AD18" i="5"/>
  <c r="AE18" i="5"/>
  <c r="AF18" i="5"/>
  <c r="X28" i="5"/>
  <c r="AD19" i="5"/>
  <c r="AE19" i="5"/>
  <c r="AF19" i="5"/>
  <c r="X29" i="5"/>
  <c r="AD20" i="5"/>
  <c r="AE20" i="5"/>
  <c r="AF20" i="5"/>
  <c r="X30" i="5"/>
  <c r="AD21" i="5"/>
  <c r="AE21" i="5"/>
  <c r="AF21" i="5"/>
  <c r="X31" i="5"/>
  <c r="AD22" i="5"/>
  <c r="AE22" i="5"/>
  <c r="AF22" i="5"/>
  <c r="X32" i="5"/>
  <c r="AD23" i="5"/>
  <c r="AE23" i="5"/>
  <c r="AF23" i="5"/>
  <c r="X33" i="5"/>
  <c r="AD24" i="5"/>
  <c r="AE24" i="5"/>
  <c r="AF24" i="5"/>
  <c r="X34" i="5"/>
  <c r="AD25" i="5"/>
  <c r="AE25" i="5"/>
  <c r="AF25" i="5"/>
  <c r="X35" i="5"/>
  <c r="AD26" i="5"/>
  <c r="AE26" i="5"/>
  <c r="AF26" i="5"/>
  <c r="X36" i="5"/>
  <c r="AD27" i="5"/>
  <c r="AE27" i="5"/>
  <c r="AF27" i="5"/>
  <c r="X37" i="5"/>
  <c r="AD28" i="5"/>
  <c r="AE28" i="5"/>
  <c r="AF28" i="5"/>
  <c r="X38" i="5"/>
  <c r="AD29" i="5"/>
  <c r="AE29" i="5"/>
  <c r="AF29" i="5"/>
  <c r="X39" i="5"/>
  <c r="AD30" i="5"/>
  <c r="AE30" i="5"/>
  <c r="AF30" i="5"/>
  <c r="X40" i="5"/>
  <c r="AD31" i="5"/>
  <c r="AE31" i="5"/>
  <c r="AF31" i="5"/>
  <c r="X41" i="5"/>
  <c r="AD32" i="5"/>
  <c r="AE32" i="5"/>
  <c r="AF32" i="5"/>
  <c r="X42" i="5"/>
  <c r="AD33" i="5"/>
  <c r="AE33" i="5"/>
  <c r="AF33" i="5"/>
  <c r="X43" i="5"/>
  <c r="AD34" i="5"/>
  <c r="AE34" i="5"/>
  <c r="AF34" i="5"/>
  <c r="X44" i="5"/>
  <c r="AD35" i="5"/>
  <c r="AE35" i="5"/>
  <c r="AF35" i="5"/>
  <c r="X45" i="5"/>
  <c r="AD36" i="5"/>
  <c r="AE36" i="5"/>
  <c r="AF36" i="5"/>
  <c r="X46" i="5"/>
  <c r="AD37" i="5"/>
  <c r="AE37" i="5"/>
  <c r="AF37" i="5"/>
  <c r="X47" i="5"/>
  <c r="AD38" i="5"/>
  <c r="AE38" i="5"/>
  <c r="AF38" i="5"/>
  <c r="X48" i="5"/>
  <c r="AD39" i="5"/>
  <c r="AE39" i="5"/>
  <c r="AF39" i="5"/>
  <c r="X49" i="5"/>
  <c r="AD40" i="5"/>
  <c r="AE40" i="5"/>
  <c r="AF40" i="5"/>
  <c r="X50" i="5"/>
  <c r="AD41" i="5"/>
  <c r="AE41" i="5"/>
  <c r="AF41" i="5"/>
  <c r="X51" i="5"/>
  <c r="AD42" i="5"/>
  <c r="AE42" i="5"/>
  <c r="AF42" i="5"/>
  <c r="X52" i="5"/>
  <c r="AD43" i="5"/>
  <c r="AE43" i="5"/>
  <c r="AF43" i="5"/>
  <c r="X53" i="5"/>
  <c r="AD44" i="5"/>
  <c r="AE44" i="5"/>
  <c r="AF44" i="5"/>
  <c r="X54" i="5"/>
  <c r="AD45" i="5"/>
  <c r="AE45" i="5"/>
  <c r="AF45" i="5"/>
  <c r="X55" i="5"/>
  <c r="AD46" i="5"/>
  <c r="AE46" i="5"/>
  <c r="AF46" i="5"/>
  <c r="X56" i="5"/>
  <c r="AD47" i="5"/>
  <c r="AE47" i="5"/>
  <c r="AF47" i="5"/>
  <c r="X57" i="5"/>
  <c r="AD48" i="5"/>
  <c r="AE48" i="5"/>
  <c r="AF48" i="5"/>
  <c r="X58" i="5"/>
  <c r="AD49" i="5"/>
  <c r="AE49" i="5"/>
  <c r="AF49" i="5"/>
  <c r="X59" i="5"/>
  <c r="AD50" i="5"/>
  <c r="AE50" i="5"/>
  <c r="AF50" i="5"/>
  <c r="X60" i="5"/>
  <c r="AD51" i="5"/>
  <c r="AE51" i="5"/>
  <c r="AF51" i="5"/>
  <c r="X61" i="5"/>
  <c r="AD52" i="5"/>
  <c r="AE52" i="5"/>
  <c r="AF52" i="5"/>
  <c r="X62" i="5"/>
  <c r="AD53" i="5"/>
  <c r="AE53" i="5"/>
  <c r="AF53" i="5"/>
  <c r="X63" i="5"/>
  <c r="AD54" i="5"/>
  <c r="AE54" i="5"/>
  <c r="AF54" i="5"/>
  <c r="X64" i="5"/>
  <c r="AD55" i="5"/>
  <c r="AE55" i="5"/>
  <c r="AF55" i="5"/>
  <c r="X65" i="5"/>
  <c r="AD56" i="5"/>
  <c r="AE56" i="5"/>
  <c r="AF56" i="5"/>
  <c r="X66" i="5"/>
  <c r="AD57" i="5"/>
  <c r="AE57" i="5"/>
  <c r="AF57" i="5"/>
  <c r="X67" i="5"/>
  <c r="AD58" i="5"/>
  <c r="AE58" i="5"/>
  <c r="AF58" i="5"/>
  <c r="AG2" i="5"/>
  <c r="AD179" i="5"/>
  <c r="AD178" i="5"/>
  <c r="AD177" i="5"/>
  <c r="AD176"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X68" i="5"/>
  <c r="AD59" i="5"/>
  <c r="AE59" i="5"/>
  <c r="AF59" i="5"/>
  <c r="AG59" i="5"/>
  <c r="X69" i="5"/>
  <c r="AD60" i="5"/>
  <c r="AE60" i="5"/>
  <c r="AF60" i="5"/>
  <c r="AG60" i="5"/>
  <c r="X70" i="5"/>
  <c r="AD61" i="5"/>
  <c r="AE61" i="5"/>
  <c r="AF61" i="5"/>
  <c r="AG61" i="5"/>
  <c r="X71" i="5"/>
  <c r="AD62" i="5"/>
  <c r="AE62" i="5"/>
  <c r="AF62" i="5"/>
  <c r="AG62" i="5"/>
  <c r="X72" i="5"/>
  <c r="AD63" i="5"/>
  <c r="AE63" i="5"/>
  <c r="AF63" i="5"/>
  <c r="AG63" i="5"/>
  <c r="X73" i="5"/>
  <c r="AD64" i="5"/>
  <c r="AE64" i="5"/>
  <c r="AF64" i="5"/>
  <c r="AG64" i="5"/>
  <c r="X74" i="5"/>
  <c r="AD65" i="5"/>
  <c r="AE65" i="5"/>
  <c r="AF65" i="5"/>
  <c r="AG65" i="5"/>
  <c r="X75" i="5"/>
  <c r="AD66" i="5"/>
  <c r="AE66" i="5"/>
  <c r="AF66" i="5"/>
  <c r="AG66" i="5"/>
  <c r="X76" i="5"/>
  <c r="AD67" i="5"/>
  <c r="AE67" i="5"/>
  <c r="AF67" i="5"/>
  <c r="AG67" i="5"/>
  <c r="X77" i="5"/>
  <c r="AD68" i="5"/>
  <c r="AE68" i="5"/>
  <c r="AF68" i="5"/>
  <c r="AG68" i="5"/>
  <c r="X78" i="5"/>
  <c r="AD69" i="5"/>
  <c r="AE69" i="5"/>
  <c r="AF69" i="5"/>
  <c r="AG69" i="5"/>
  <c r="X79" i="5"/>
  <c r="AD70" i="5"/>
  <c r="AE70" i="5"/>
  <c r="AF70" i="5"/>
  <c r="AG70" i="5"/>
  <c r="X80" i="5"/>
  <c r="AD71" i="5"/>
  <c r="AE71" i="5"/>
  <c r="AF71" i="5"/>
  <c r="AG71" i="5"/>
  <c r="X81" i="5"/>
  <c r="AD72" i="5"/>
  <c r="AE72" i="5"/>
  <c r="AF72" i="5"/>
  <c r="AG72" i="5"/>
  <c r="X82" i="5"/>
  <c r="AD73" i="5"/>
  <c r="AE73" i="5"/>
  <c r="AF73" i="5"/>
  <c r="AG73" i="5"/>
  <c r="X83" i="5"/>
  <c r="AD74" i="5"/>
  <c r="AE74" i="5"/>
  <c r="AF74" i="5"/>
  <c r="AG74" i="5"/>
  <c r="X84" i="5"/>
  <c r="AD75" i="5"/>
  <c r="AE75" i="5"/>
  <c r="AF75" i="5"/>
  <c r="AG75" i="5"/>
  <c r="X85" i="5"/>
  <c r="AD76" i="5"/>
  <c r="AE76" i="5"/>
  <c r="AF76" i="5"/>
  <c r="AG76" i="5"/>
  <c r="X86" i="5"/>
  <c r="AD77" i="5"/>
  <c r="AE77" i="5"/>
  <c r="AF77" i="5"/>
  <c r="AG77" i="5"/>
  <c r="X87" i="5"/>
  <c r="AD78" i="5"/>
  <c r="AE78" i="5"/>
  <c r="AF78" i="5"/>
  <c r="AG78" i="5"/>
  <c r="X88" i="5"/>
  <c r="AD79" i="5"/>
  <c r="AE79" i="5"/>
  <c r="AF79" i="5"/>
  <c r="AG79" i="5"/>
  <c r="X89" i="5"/>
  <c r="AD80" i="5"/>
  <c r="AE80" i="5"/>
  <c r="AF80" i="5"/>
  <c r="AG80" i="5"/>
  <c r="X90" i="5"/>
  <c r="AD81" i="5"/>
  <c r="AE81" i="5"/>
  <c r="AF81" i="5"/>
  <c r="AG81" i="5"/>
  <c r="X91" i="5"/>
  <c r="AD82" i="5"/>
  <c r="AE82" i="5"/>
  <c r="AF82" i="5"/>
  <c r="AG82" i="5"/>
  <c r="X92" i="5"/>
  <c r="AD83" i="5"/>
  <c r="AE83" i="5"/>
  <c r="AF83" i="5"/>
  <c r="AG83" i="5"/>
  <c r="X93" i="5"/>
  <c r="AD84" i="5"/>
  <c r="AE84" i="5"/>
  <c r="AF84" i="5"/>
  <c r="AG84" i="5"/>
  <c r="X94" i="5"/>
  <c r="AD85" i="5"/>
  <c r="AE85" i="5"/>
  <c r="AF85" i="5"/>
  <c r="AG85" i="5"/>
  <c r="X95" i="5"/>
  <c r="AD86" i="5"/>
  <c r="AE86" i="5"/>
  <c r="AF86" i="5"/>
  <c r="AG86" i="5"/>
  <c r="X96" i="5"/>
  <c r="AD87" i="5"/>
  <c r="AE87" i="5"/>
  <c r="AF87" i="5"/>
  <c r="AG87" i="5"/>
  <c r="X97" i="5"/>
  <c r="AD88" i="5"/>
  <c r="AE88" i="5"/>
  <c r="AF88" i="5"/>
  <c r="AG88" i="5"/>
  <c r="X98" i="5"/>
  <c r="AD89" i="5"/>
  <c r="AE89" i="5"/>
  <c r="AF89" i="5"/>
  <c r="AG89" i="5"/>
  <c r="X99" i="5"/>
  <c r="AD90" i="5"/>
  <c r="AE90" i="5"/>
  <c r="AF90" i="5"/>
  <c r="AG90" i="5"/>
  <c r="X100" i="5"/>
  <c r="AD91" i="5"/>
  <c r="AE91" i="5"/>
  <c r="AF91" i="5"/>
  <c r="AG91" i="5"/>
  <c r="X101" i="5"/>
  <c r="AD92" i="5"/>
  <c r="AE92" i="5"/>
  <c r="AF92" i="5"/>
  <c r="AG92" i="5"/>
  <c r="X102" i="5"/>
  <c r="AD93" i="5"/>
  <c r="AE93" i="5"/>
  <c r="AF93" i="5"/>
  <c r="AG93" i="5"/>
  <c r="X103" i="5"/>
  <c r="AD94" i="5"/>
  <c r="AE94" i="5"/>
  <c r="AF94" i="5"/>
  <c r="AG94" i="5"/>
  <c r="X104" i="5"/>
  <c r="AD95" i="5"/>
  <c r="AE95" i="5"/>
  <c r="AF95" i="5"/>
  <c r="AG95" i="5"/>
  <c r="X105" i="5"/>
  <c r="AD96" i="5"/>
  <c r="AE96" i="5"/>
  <c r="AF96" i="5"/>
  <c r="AG96" i="5"/>
  <c r="X106" i="5"/>
  <c r="AD97" i="5"/>
  <c r="AE97" i="5"/>
  <c r="AF97" i="5"/>
  <c r="AG97" i="5"/>
  <c r="X107" i="5"/>
  <c r="AD98" i="5"/>
  <c r="AE98" i="5"/>
  <c r="AF98" i="5"/>
  <c r="AG98" i="5"/>
  <c r="X108" i="5"/>
  <c r="AD99" i="5"/>
  <c r="AE99" i="5"/>
  <c r="AF99" i="5"/>
  <c r="AG99" i="5"/>
  <c r="X109" i="5"/>
  <c r="AD100" i="5"/>
  <c r="AE100" i="5"/>
  <c r="AF100" i="5"/>
  <c r="AG100" i="5"/>
  <c r="X110" i="5"/>
  <c r="AD101" i="5"/>
  <c r="AE101" i="5"/>
  <c r="AF101" i="5"/>
  <c r="AG101" i="5"/>
  <c r="X111" i="5"/>
  <c r="AD102" i="5"/>
  <c r="AE102" i="5"/>
  <c r="AF102" i="5"/>
  <c r="AG102" i="5"/>
  <c r="X112" i="5"/>
  <c r="AD103" i="5"/>
  <c r="AE103" i="5"/>
  <c r="AF103" i="5"/>
  <c r="AG103" i="5"/>
  <c r="X113" i="5"/>
  <c r="AD104" i="5"/>
  <c r="AE104" i="5"/>
  <c r="AF104" i="5"/>
  <c r="AG104" i="5"/>
  <c r="X114" i="5"/>
  <c r="AD105" i="5"/>
  <c r="AE105" i="5"/>
  <c r="AF105" i="5"/>
  <c r="AG105" i="5"/>
  <c r="X115" i="5"/>
  <c r="AD106" i="5"/>
  <c r="AE106" i="5"/>
  <c r="AF106" i="5"/>
  <c r="AG106" i="5"/>
  <c r="X116" i="5"/>
  <c r="AD107" i="5"/>
  <c r="AE107" i="5"/>
  <c r="AF107" i="5"/>
  <c r="AG107" i="5"/>
  <c r="X117" i="5"/>
  <c r="AD108" i="5"/>
  <c r="AE108" i="5"/>
  <c r="AF108" i="5"/>
  <c r="AG108" i="5"/>
  <c r="X118" i="5"/>
  <c r="AD109" i="5"/>
  <c r="AE109" i="5"/>
  <c r="AF109" i="5"/>
  <c r="AG109" i="5"/>
  <c r="X119" i="5"/>
  <c r="AD110" i="5"/>
  <c r="AE110" i="5"/>
  <c r="AF110" i="5"/>
  <c r="AG110" i="5"/>
  <c r="X120" i="5"/>
  <c r="AD111" i="5"/>
  <c r="AE111" i="5"/>
  <c r="AF111" i="5"/>
  <c r="AG111" i="5"/>
  <c r="X121" i="5"/>
  <c r="AD112" i="5"/>
  <c r="AE112" i="5"/>
  <c r="AF112" i="5"/>
  <c r="AG112" i="5"/>
  <c r="X122" i="5"/>
  <c r="AD113" i="5"/>
  <c r="AE113" i="5"/>
  <c r="AF113" i="5"/>
  <c r="AG113" i="5"/>
  <c r="X123" i="5"/>
  <c r="AD114" i="5"/>
  <c r="AE114" i="5"/>
  <c r="AF114" i="5"/>
  <c r="AG114" i="5"/>
  <c r="X124" i="5"/>
  <c r="AD115" i="5"/>
  <c r="AE115" i="5"/>
  <c r="AF115" i="5"/>
  <c r="AG115" i="5"/>
  <c r="X125" i="5"/>
  <c r="AD116" i="5"/>
  <c r="AE116" i="5"/>
  <c r="AF116" i="5"/>
  <c r="AG116" i="5"/>
  <c r="X126" i="5"/>
  <c r="AD117" i="5"/>
  <c r="AE117" i="5"/>
  <c r="AF117" i="5"/>
  <c r="AG117" i="5"/>
  <c r="X127" i="5"/>
  <c r="AD118" i="5"/>
  <c r="AE118" i="5"/>
  <c r="AF118" i="5"/>
  <c r="AG118" i="5"/>
  <c r="X128" i="5"/>
  <c r="AD119" i="5"/>
  <c r="AE119" i="5"/>
  <c r="AF119" i="5"/>
  <c r="AG119" i="5"/>
  <c r="X129" i="5"/>
  <c r="AD120" i="5"/>
  <c r="AE120" i="5"/>
  <c r="AF120" i="5"/>
  <c r="AG120" i="5"/>
  <c r="X130" i="5"/>
  <c r="AD121" i="5"/>
  <c r="AE121" i="5"/>
  <c r="AF121" i="5"/>
  <c r="AG121" i="5"/>
  <c r="X131" i="5"/>
  <c r="AD122" i="5"/>
  <c r="AE122" i="5"/>
  <c r="AF122" i="5"/>
  <c r="AG122" i="5"/>
  <c r="X132" i="5"/>
  <c r="AD123" i="5"/>
  <c r="AE123" i="5"/>
  <c r="AF123" i="5"/>
  <c r="AG123" i="5"/>
  <c r="X133" i="5"/>
  <c r="AD124" i="5"/>
  <c r="AE124" i="5"/>
  <c r="AF124" i="5"/>
  <c r="AG124" i="5"/>
  <c r="X134" i="5"/>
  <c r="AD125" i="5"/>
  <c r="AE125" i="5"/>
  <c r="AF125" i="5"/>
  <c r="AG125" i="5"/>
  <c r="X135" i="5"/>
  <c r="AD126" i="5"/>
  <c r="AE126" i="5"/>
  <c r="AF126" i="5"/>
  <c r="AG126" i="5"/>
  <c r="X136" i="5"/>
  <c r="AD127" i="5"/>
  <c r="AE127" i="5"/>
  <c r="AF127" i="5"/>
  <c r="AG127" i="5"/>
  <c r="X137" i="5"/>
  <c r="AD128" i="5"/>
  <c r="AE128" i="5"/>
  <c r="AF128" i="5"/>
  <c r="AG128" i="5"/>
  <c r="X138" i="5"/>
  <c r="AD129" i="5"/>
  <c r="AE129" i="5"/>
  <c r="AF129" i="5"/>
  <c r="AG129" i="5"/>
  <c r="X139" i="5"/>
  <c r="AD130" i="5"/>
  <c r="AE130" i="5"/>
  <c r="AF130" i="5"/>
  <c r="AG130" i="5"/>
  <c r="X140" i="5"/>
  <c r="AD131" i="5"/>
  <c r="AE131" i="5"/>
  <c r="AF131" i="5"/>
  <c r="AG131" i="5"/>
  <c r="X141" i="5"/>
  <c r="AD132" i="5"/>
  <c r="AE132" i="5"/>
  <c r="AF132" i="5"/>
  <c r="AG132" i="5"/>
  <c r="X142" i="5"/>
  <c r="AD133" i="5"/>
  <c r="AE133" i="5"/>
  <c r="AF133" i="5"/>
  <c r="AG133" i="5"/>
  <c r="X143" i="5"/>
  <c r="AD134" i="5"/>
  <c r="AE134" i="5"/>
  <c r="AF134" i="5"/>
  <c r="AG134" i="5"/>
  <c r="X144" i="5"/>
  <c r="AD135" i="5"/>
  <c r="AE135" i="5"/>
  <c r="AF135" i="5"/>
  <c r="AG135" i="5"/>
  <c r="X145" i="5"/>
  <c r="AD136" i="5"/>
  <c r="AE136" i="5"/>
  <c r="AF136" i="5"/>
  <c r="AG136" i="5"/>
  <c r="X146" i="5"/>
  <c r="AD137" i="5"/>
  <c r="AE137" i="5"/>
  <c r="AF137" i="5"/>
  <c r="AG137" i="5"/>
  <c r="X147" i="5"/>
  <c r="AD138" i="5"/>
  <c r="AE138" i="5"/>
  <c r="AF138" i="5"/>
  <c r="AG138" i="5"/>
  <c r="X148" i="5"/>
  <c r="AD139" i="5"/>
  <c r="AE139" i="5"/>
  <c r="AF139" i="5"/>
  <c r="AG139" i="5"/>
  <c r="X149" i="5"/>
  <c r="AD140" i="5"/>
  <c r="AE140" i="5"/>
  <c r="AF140" i="5"/>
  <c r="AG140" i="5"/>
  <c r="X150" i="5"/>
  <c r="AD141" i="5"/>
  <c r="AE141" i="5"/>
  <c r="AF141" i="5"/>
  <c r="AG141" i="5"/>
  <c r="X151" i="5"/>
  <c r="AD142" i="5"/>
  <c r="AE142" i="5"/>
  <c r="AF142" i="5"/>
  <c r="AG142" i="5"/>
  <c r="X152" i="5"/>
  <c r="AD143" i="5"/>
  <c r="AE143" i="5"/>
  <c r="AF143" i="5"/>
  <c r="AG143" i="5"/>
  <c r="X153" i="5"/>
  <c r="AD144" i="5"/>
  <c r="AE144" i="5"/>
  <c r="AF144" i="5"/>
  <c r="AG144" i="5"/>
  <c r="X154" i="5"/>
  <c r="AD145" i="5"/>
  <c r="AE145" i="5"/>
  <c r="AF145" i="5"/>
  <c r="AG145" i="5"/>
  <c r="X155" i="5"/>
  <c r="AD146" i="5"/>
  <c r="AE146" i="5"/>
  <c r="AF146" i="5"/>
  <c r="AG146" i="5"/>
  <c r="X156" i="5"/>
  <c r="AD147" i="5"/>
  <c r="AE147" i="5"/>
  <c r="AF147" i="5"/>
  <c r="AG147" i="5"/>
  <c r="X157" i="5"/>
  <c r="AD148" i="5"/>
  <c r="AE148" i="5"/>
  <c r="AF148" i="5"/>
  <c r="AG148" i="5"/>
  <c r="X158" i="5"/>
  <c r="AD149" i="5"/>
  <c r="AE149" i="5"/>
  <c r="AF149" i="5"/>
  <c r="AG149" i="5"/>
  <c r="X159" i="5"/>
  <c r="AD150" i="5"/>
  <c r="AE150" i="5"/>
  <c r="AF150" i="5"/>
  <c r="AG150" i="5"/>
  <c r="X160" i="5"/>
  <c r="AD151" i="5"/>
  <c r="AE151" i="5"/>
  <c r="AF151" i="5"/>
  <c r="AG151" i="5"/>
  <c r="X161" i="5"/>
  <c r="AD152" i="5"/>
  <c r="AE152" i="5"/>
  <c r="AF152" i="5"/>
  <c r="AG152" i="5"/>
  <c r="X162" i="5"/>
  <c r="AD153" i="5"/>
  <c r="AE153" i="5"/>
  <c r="AF153" i="5"/>
  <c r="AG153" i="5"/>
  <c r="X163" i="5"/>
  <c r="AD154" i="5"/>
  <c r="AE154" i="5"/>
  <c r="AF154" i="5"/>
  <c r="AG154" i="5"/>
  <c r="X164" i="5"/>
  <c r="AD155" i="5"/>
  <c r="AE155" i="5"/>
  <c r="AF155" i="5"/>
  <c r="AG155" i="5"/>
  <c r="X165" i="5"/>
  <c r="AD156" i="5"/>
  <c r="AE156" i="5"/>
  <c r="AF156" i="5"/>
  <c r="AG156" i="5"/>
  <c r="X166" i="5"/>
  <c r="AD157" i="5"/>
  <c r="AE157" i="5"/>
  <c r="AF157" i="5"/>
  <c r="AG157" i="5"/>
  <c r="X167" i="5"/>
  <c r="AD158" i="5"/>
  <c r="AE158" i="5"/>
  <c r="AF158" i="5"/>
  <c r="AG158" i="5"/>
  <c r="X168" i="5"/>
  <c r="AD159" i="5"/>
  <c r="AE159" i="5"/>
  <c r="AF159" i="5"/>
  <c r="AG159" i="5"/>
  <c r="X169" i="5"/>
  <c r="AD160" i="5"/>
  <c r="AE160" i="5"/>
  <c r="AF160" i="5"/>
  <c r="AG160" i="5"/>
  <c r="X170" i="5"/>
  <c r="AD161" i="5"/>
  <c r="AE161" i="5"/>
  <c r="AF161" i="5"/>
  <c r="AG161" i="5"/>
  <c r="X171" i="5"/>
  <c r="AD162" i="5"/>
  <c r="AE162" i="5"/>
  <c r="AF162" i="5"/>
  <c r="AG162" i="5"/>
  <c r="X172" i="5"/>
  <c r="AD163" i="5"/>
  <c r="AE163" i="5"/>
  <c r="AF163" i="5"/>
  <c r="AG163" i="5"/>
  <c r="X173" i="5"/>
  <c r="AD164" i="5"/>
  <c r="AE164" i="5"/>
  <c r="AF164" i="5"/>
  <c r="AG164" i="5"/>
  <c r="X174" i="5"/>
  <c r="AD165" i="5"/>
  <c r="AE165" i="5"/>
  <c r="AF165" i="5"/>
  <c r="AG165" i="5"/>
  <c r="X175" i="5"/>
  <c r="AD166" i="5"/>
  <c r="AE166" i="5"/>
  <c r="AF166" i="5"/>
  <c r="AG166" i="5"/>
  <c r="X176" i="5"/>
  <c r="AD167" i="5"/>
  <c r="AE167" i="5"/>
  <c r="AF167" i="5"/>
  <c r="AG167" i="5"/>
  <c r="X177" i="5"/>
  <c r="AD168" i="5"/>
  <c r="AE168" i="5"/>
  <c r="AF168" i="5"/>
  <c r="AG168" i="5"/>
  <c r="X178" i="5"/>
  <c r="AD169" i="5"/>
  <c r="AE169" i="5"/>
  <c r="AF169" i="5"/>
  <c r="AG169" i="5"/>
  <c r="X179" i="5"/>
  <c r="AD170" i="5"/>
  <c r="AE170" i="5"/>
  <c r="AF170" i="5"/>
  <c r="AG170" i="5"/>
  <c r="X180" i="5"/>
  <c r="AD171" i="5"/>
  <c r="AE171" i="5"/>
  <c r="AF171" i="5"/>
  <c r="AG171" i="5"/>
  <c r="X181" i="5"/>
  <c r="AD172" i="5"/>
  <c r="AE172" i="5"/>
  <c r="AF172" i="5"/>
  <c r="AG172" i="5"/>
  <c r="X182" i="5"/>
  <c r="AD173" i="5"/>
  <c r="AE173" i="5"/>
  <c r="AF173" i="5"/>
  <c r="AG173" i="5"/>
  <c r="X183" i="5"/>
  <c r="AD174" i="5"/>
  <c r="AE174" i="5"/>
  <c r="AF174" i="5"/>
  <c r="AG174" i="5"/>
  <c r="X184" i="5"/>
  <c r="AD175" i="5"/>
  <c r="AE175" i="5"/>
  <c r="AF175" i="5"/>
  <c r="AG175" i="5"/>
  <c r="AE176" i="5"/>
  <c r="AF176" i="5"/>
  <c r="AG176" i="5"/>
  <c r="AE177" i="5"/>
  <c r="AF177" i="5"/>
  <c r="AG177" i="5"/>
  <c r="AE178" i="5"/>
  <c r="AF178" i="5"/>
  <c r="AG178" i="5"/>
  <c r="AE179" i="5"/>
  <c r="AF179" i="5"/>
  <c r="AG179" i="5"/>
  <c r="AE180" i="5"/>
  <c r="AF180" i="5"/>
  <c r="AG180" i="5"/>
  <c r="AE181" i="5"/>
  <c r="AF181" i="5"/>
  <c r="AG181" i="5"/>
  <c r="AE182" i="5"/>
  <c r="AF182" i="5"/>
  <c r="AG182" i="5"/>
  <c r="AE183" i="5"/>
  <c r="AF183" i="5"/>
  <c r="AG183" i="5"/>
  <c r="AE184" i="5"/>
  <c r="AF184" i="5"/>
  <c r="AG184" i="5"/>
  <c r="X11" i="5"/>
  <c r="X10" i="5"/>
  <c r="X9" i="5"/>
  <c r="X8" i="5"/>
  <c r="X7" i="5"/>
  <c r="X6" i="5"/>
  <c r="X5" i="5"/>
  <c r="X4" i="5"/>
  <c r="X3" i="5"/>
  <c r="X2" i="5"/>
</calcChain>
</file>

<file path=xl/sharedStrings.xml><?xml version="1.0" encoding="utf-8"?>
<sst xmlns="http://schemas.openxmlformats.org/spreadsheetml/2006/main" count="174" uniqueCount="100">
  <si>
    <t>Credit Cards</t>
  </si>
  <si>
    <t>Available</t>
  </si>
  <si>
    <t>Interest</t>
  </si>
  <si>
    <t>Balance</t>
  </si>
  <si>
    <t>% owed</t>
  </si>
  <si>
    <t>Received?</t>
  </si>
  <si>
    <t>Column1</t>
  </si>
  <si>
    <t>Income</t>
  </si>
  <si>
    <t>Amount</t>
  </si>
  <si>
    <t>Paid?</t>
  </si>
  <si>
    <t>Auto?</t>
  </si>
  <si>
    <t>Bill</t>
  </si>
  <si>
    <t>%</t>
  </si>
  <si>
    <t>Due before the 15th</t>
  </si>
  <si>
    <t>Debit</t>
  </si>
  <si>
    <t>Savings</t>
  </si>
  <si>
    <t>Current total</t>
  </si>
  <si>
    <t>Projected debit by mid-month</t>
  </si>
  <si>
    <t>Projected debit by end-of-month</t>
  </si>
  <si>
    <t>Income per month</t>
  </si>
  <si>
    <t>Bills per month</t>
  </si>
  <si>
    <t>Monthly Growth</t>
  </si>
  <si>
    <t>APR</t>
  </si>
  <si>
    <t xml:space="preserve"> </t>
  </si>
  <si>
    <t>On Date</t>
  </si>
  <si>
    <t>Total due by EOM</t>
  </si>
  <si>
    <t>First half of the month</t>
  </si>
  <si>
    <t>Second half of the month</t>
  </si>
  <si>
    <t>Totals</t>
  </si>
  <si>
    <t>Summary</t>
  </si>
  <si>
    <t>dates</t>
  </si>
  <si>
    <t>bills</t>
  </si>
  <si>
    <t>as day</t>
  </si>
  <si>
    <t>sum per date</t>
  </si>
  <si>
    <t>fluctuation</t>
  </si>
  <si>
    <t>y if Monday</t>
  </si>
  <si>
    <t>income</t>
  </si>
  <si>
    <t>local min</t>
  </si>
  <si>
    <t>x Month</t>
  </si>
  <si>
    <t>x day</t>
  </si>
  <si>
    <t>Credit Limit</t>
  </si>
  <si>
    <t>3rd checks</t>
  </si>
  <si>
    <t>Total</t>
  </si>
  <si>
    <t>y</t>
  </si>
  <si>
    <t>Last Paid</t>
  </si>
  <si>
    <t>delta $</t>
  </si>
  <si>
    <t>mod( )</t>
  </si>
  <si>
    <t>Groceries</t>
  </si>
  <si>
    <t>Misc.</t>
  </si>
  <si>
    <t>Internship</t>
  </si>
  <si>
    <t>Example bill 1</t>
  </si>
  <si>
    <t>Example bill 2</t>
  </si>
  <si>
    <t>Gas</t>
  </si>
  <si>
    <t>Phone</t>
  </si>
  <si>
    <t>Fill out the table for each source of income. 
Under [Last Paid], enter the date you received the most recent paycheck, in the date format &lt;m/d&gt;.</t>
  </si>
  <si>
    <t>Date &lt;d&gt;</t>
  </si>
  <si>
    <t xml:space="preserve">select end date: </t>
  </si>
  <si>
    <t>last paid</t>
  </si>
  <si>
    <t>today</t>
  </si>
  <si>
    <t>first</t>
  </si>
  <si>
    <t>second</t>
  </si>
  <si>
    <t>third?</t>
  </si>
  <si>
    <t>days until</t>
  </si>
  <si>
    <t>Line returns a…</t>
  </si>
  <si>
    <t>Descriptions</t>
  </si>
  <si>
    <t>if today =</t>
  </si>
  <si>
    <t>calibrate</t>
  </si>
  <si>
    <t>next on</t>
  </si>
  <si>
    <t>MOD([Last Paid], 14)</t>
  </si>
  <si>
    <t>mod</t>
  </si>
  <si>
    <t>The mod of a date is a unique identifier, in this case between [0, 14).</t>
  </si>
  <si>
    <t xml:space="preserve">TODAY() - </t>
  </si>
  <si>
    <t>date</t>
  </si>
  <si>
    <t>Subtract that mod from today's date to generate a dynamic dummy date, used to calibrate the original mod.</t>
  </si>
  <si>
    <t>MOD(</t>
  </si>
  <si>
    <t>, 14)</t>
  </si>
  <si>
    <t>The mod of this dummy date calibrates the original mod such that dates paid are now "14 mod 0".</t>
  </si>
  <si>
    <t>14 -</t>
  </si>
  <si>
    <t>number</t>
  </si>
  <si>
    <t>Subtract this new mod from 14 to reverse order, giving us number of days until next pay day.</t>
  </si>
  <si>
    <r>
      <t>IF(MONTH(TODAY()+</t>
    </r>
    <r>
      <rPr>
        <b/>
        <sz val="11"/>
        <color theme="1"/>
        <rFont val="Calibri Light"/>
        <family val="2"/>
        <scheme val="major"/>
      </rPr>
      <t>"days until"</t>
    </r>
    <r>
      <rPr>
        <sz val="11"/>
        <color theme="1"/>
        <rFont val="Calibri Light"/>
        <family val="2"/>
        <scheme val="major"/>
      </rPr>
      <t>-42)=MONTH(TODAY()),</t>
    </r>
  </si>
  <si>
    <t>If the difference between today's date and the first paycheck of the month is greater than 28,</t>
  </si>
  <si>
    <r>
      <t>TODAY()+</t>
    </r>
    <r>
      <rPr>
        <b/>
        <sz val="11"/>
        <color theme="1"/>
        <rFont val="Calibri Light"/>
        <family val="2"/>
        <scheme val="major"/>
      </rPr>
      <t>"days until"</t>
    </r>
    <r>
      <rPr>
        <sz val="11"/>
        <color theme="1"/>
        <rFont val="Calibri Light"/>
        <family val="2"/>
        <scheme val="major"/>
      </rPr>
      <t>-42,</t>
    </r>
  </si>
  <si>
    <t>display that date</t>
  </si>
  <si>
    <r>
      <t>IF(MONTH(TODAY()+</t>
    </r>
    <r>
      <rPr>
        <b/>
        <sz val="11"/>
        <color theme="1"/>
        <rFont val="Calibri Light"/>
        <family val="2"/>
        <scheme val="major"/>
      </rPr>
      <t>"days until"</t>
    </r>
    <r>
      <rPr>
        <sz val="11"/>
        <color theme="1"/>
        <rFont val="Calibri Light"/>
        <family val="2"/>
        <scheme val="major"/>
      </rPr>
      <t>-28)=MONTH(TODAY()),</t>
    </r>
  </si>
  <si>
    <t xml:space="preserve">else, if 14 &lt; that difference &lt; 28, </t>
  </si>
  <si>
    <r>
      <t>TODAY()+</t>
    </r>
    <r>
      <rPr>
        <b/>
        <sz val="11"/>
        <color theme="1"/>
        <rFont val="Calibri Light"/>
        <family val="2"/>
        <scheme val="major"/>
      </rPr>
      <t>"days until"</t>
    </r>
    <r>
      <rPr>
        <sz val="11"/>
        <color theme="1"/>
        <rFont val="Calibri Light"/>
        <family val="2"/>
        <scheme val="major"/>
      </rPr>
      <t>-28,</t>
    </r>
  </si>
  <si>
    <r>
      <t>IF(MONTH(TODAY()+</t>
    </r>
    <r>
      <rPr>
        <b/>
        <sz val="11"/>
        <color theme="1"/>
        <rFont val="Calibri Light"/>
        <family val="2"/>
        <scheme val="major"/>
      </rPr>
      <t>"days until"</t>
    </r>
    <r>
      <rPr>
        <sz val="11"/>
        <color theme="1"/>
        <rFont val="Calibri Light"/>
        <family val="2"/>
        <scheme val="major"/>
      </rPr>
      <t>-14)=MONTH(TODAY()),</t>
    </r>
  </si>
  <si>
    <t>else, if that difference &lt; 14,</t>
  </si>
  <si>
    <r>
      <t>TODAY()+</t>
    </r>
    <r>
      <rPr>
        <b/>
        <sz val="11"/>
        <color theme="1"/>
        <rFont val="Calibri Light"/>
        <family val="2"/>
        <scheme val="major"/>
      </rPr>
      <t>"days until"</t>
    </r>
    <r>
      <rPr>
        <sz val="11"/>
        <color theme="1"/>
        <rFont val="Calibri Light"/>
        <family val="2"/>
        <scheme val="major"/>
      </rPr>
      <t>-14,</t>
    </r>
  </si>
  <si>
    <r>
      <t>TODAY()+</t>
    </r>
    <r>
      <rPr>
        <b/>
        <sz val="11"/>
        <color theme="1"/>
        <rFont val="Calibri Light"/>
        <family val="2"/>
        <scheme val="major"/>
      </rPr>
      <t>"days until"</t>
    </r>
    <r>
      <rPr>
        <sz val="11"/>
        <color theme="1"/>
        <rFont val="Calibri Light"/>
        <family val="2"/>
        <scheme val="major"/>
      </rPr>
      <t>))</t>
    </r>
  </si>
  <si>
    <t>else, display next date.</t>
  </si>
  <si>
    <t>[@first]+14</t>
  </si>
  <si>
    <t>Calculate the date of the second paycheck based on the date of the first.</t>
  </si>
  <si>
    <t>IF(MONTH([@first]+28)=MONTH([@first]),</t>
  </si>
  <si>
    <t xml:space="preserve">If the month of a third paycheck matches the current month, </t>
  </si>
  <si>
    <t>[@first]+28,</t>
  </si>
  <si>
    <t>)</t>
  </si>
  <si>
    <t>else, blank (third date is actually the first of the next month).</t>
  </si>
  <si>
    <t>Fill out the blue fields for bills due each month.
First, list bills with no specific due date (ex. estimated weekly grocery bills) in the Misc. table. Clear out the [Paid?] column at the beginning of each month and enter "y" as those bills are paid.
List bills due before the 15th in the next table, 
and those due after in the last. 
Finally, fill out blue fields in the Dashboard
Sheet as well (debit funds and credit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</si>
</sst>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3">
    <numFmt numFmtId="44" formatCode="_(&quot;$&quot;* #,##0.00_);_(&quot;$&quot;* \(#,##0.00\);_(&quot;$&quot;* &quot;-&quot;??_);_(@_)"/>
    <numFmt numFmtId="43" formatCode="_(* #,##0.00_);_(* \(#,##0.00\);_(* &quot;-&quot;??_);_(@_)"/>
    <numFmt numFmtId="164" formatCode="0.0%"/>
    <numFmt numFmtId="165" formatCode=";;;@"/>
    <numFmt numFmtId="166" formatCode="#,##0.00;&quot;Never!&quot;;"/>
    <numFmt numFmtId="167" formatCode="0.0\ %;;;"/>
    <numFmt numFmtId="168" formatCode=";;;@_)"/>
    <numFmt numFmtId="169" formatCode="#_);;;"/>
    <numFmt numFmtId="170" formatCode="_(* #,##0.00_);_(* \(#,##0.00\);;_(@_)"/>
    <numFmt numFmtId="171" formatCode="[$-409]d_)"/>
    <numFmt numFmtId="172" formatCode="_(\+* #,##0.00_);_(\+* \(#,##0.00\);_(* &quot;-&quot;??_);_(@_)"/>
    <numFmt numFmtId="173" formatCode="#,##0;\-#,##0;;"/>
    <numFmt numFmtId="174" formatCode="_(&quot;$&quot;* #,##0.00_);_(&quot;$&quot;* \(#,##0.00\);_(&quot;$&quot;* &quot;-&quot;_);_(@_)"/>
    <numFmt numFmtId="175" formatCode="m/d;@"/>
    <numFmt numFmtId="176" formatCode="\(#,##0.00\);;;"/>
    <numFmt numFmtId="177" formatCode="_(&quot;$&quot;* #,##0.00_);_(&quot;$&quot;* \(#,##0.00\);_(* &quot;-&quot;??_);_(@_)"/>
    <numFmt numFmtId="178" formatCode="#,##0.00;;;"/>
    <numFmt numFmtId="179" formatCode="#,##0.00\ &quot;months until credit freedom&quot;;&quot;Never!&quot;;&quot;You're free!&quot;;&quot;... months until credit freedom&quot;"/>
    <numFmt numFmtId="180" formatCode=";;"/>
    <numFmt numFmtId="181" formatCode="m\ /\ d;;;"/>
    <numFmt numFmtId="182" formatCode="m/d;;;@"/>
    <numFmt numFmtId="183" formatCode="&quot;$&quot;#,##0.00"/>
    <numFmt numFmtId="184" formatCode="&quot;months until credit freedom&quot;;&quot;Never!&quot;;&quot;You're free!&quot;;&quot;... months until credit freedom&quot;"/>
  </numFmts>
  <fonts count="20" x14ac:knownFonts="1">
    <font>
      <sz val="12"/>
      <color theme="1"/>
      <name val="Calibri"/>
      <family val="2"/>
      <scheme val="minor"/>
    </font>
    <font>
      <sz val="12"/>
      <color theme="1"/>
      <name val="Calibri"/>
      <family val="2"/>
      <scheme val="minor"/>
    </font>
    <font>
      <sz val="8"/>
      <name val="Calibri"/>
      <family val="2"/>
      <scheme val="minor"/>
    </font>
    <font>
      <b/>
      <sz val="11"/>
      <color rgb="FF000000"/>
      <name val="Calibri Light"/>
      <family val="2"/>
      <scheme val="major"/>
    </font>
    <font>
      <sz val="11"/>
      <color rgb="FF000000"/>
      <name val="Calibri Light"/>
      <family val="2"/>
      <scheme val="major"/>
    </font>
    <font>
      <sz val="11"/>
      <color theme="1"/>
      <name val="Calibri Light"/>
      <family val="2"/>
      <scheme val="major"/>
    </font>
    <font>
      <sz val="11"/>
      <color theme="0"/>
      <name val="Calibri Light"/>
      <family val="2"/>
      <scheme val="major"/>
    </font>
    <font>
      <sz val="11"/>
      <name val="Calibri Light"/>
      <family val="2"/>
      <scheme val="major"/>
    </font>
    <font>
      <u/>
      <sz val="12"/>
      <color theme="10"/>
      <name val="Calibri"/>
      <family val="2"/>
      <scheme val="minor"/>
    </font>
    <font>
      <i/>
      <sz val="11"/>
      <color theme="0" tint="-0.34998626667073579"/>
      <name val="Calibri Light"/>
      <family val="2"/>
      <scheme val="major"/>
    </font>
    <font>
      <b/>
      <sz val="20"/>
      <color theme="1"/>
      <name val="Calibri Light"/>
      <family val="2"/>
      <scheme val="major"/>
    </font>
    <font>
      <b/>
      <sz val="12"/>
      <color rgb="FF000000"/>
      <name val="Calibri Light"/>
      <family val="2"/>
      <scheme val="major"/>
    </font>
    <font>
      <sz val="12"/>
      <color theme="1"/>
      <name val="Calibri Light"/>
      <family val="2"/>
      <scheme val="major"/>
    </font>
    <font>
      <sz val="10"/>
      <color theme="1"/>
      <name val="Calibri Light"/>
      <family val="2"/>
      <scheme val="major"/>
    </font>
    <font>
      <i/>
      <sz val="11"/>
      <color theme="0" tint="-0.499984740745262"/>
      <name val="Calibri Light"/>
      <family val="2"/>
      <scheme val="major"/>
    </font>
    <font>
      <i/>
      <sz val="11"/>
      <color theme="1"/>
      <name val="Calibri Light"/>
      <family val="2"/>
      <scheme val="major"/>
    </font>
    <font>
      <sz val="11"/>
      <color theme="1" tint="0.249977111117893"/>
      <name val="Calibri Light"/>
      <family val="2"/>
      <scheme val="major"/>
    </font>
    <font>
      <sz val="11"/>
      <color theme="0" tint="-0.14999847407452621"/>
      <name val="Calibri Light"/>
      <family val="2"/>
      <scheme val="major"/>
    </font>
    <font>
      <b/>
      <sz val="12"/>
      <color theme="1"/>
      <name val="Calibri Light"/>
      <family val="2"/>
      <scheme val="major"/>
    </font>
    <font>
      <b/>
      <sz val="11"/>
      <color theme="1"/>
      <name val="Calibri Light"/>
      <family val="2"/>
      <scheme val="major"/>
    </font>
  </fonts>
  <fills count="9">
    <fill>
      <patternFill patternType="none"/>
    </fill>
    <fill>
      <patternFill patternType="gray125"/>
    </fill>
    <fill>
      <patternFill patternType="solid">
        <fgColor theme="4" tint="0.39997558519241921"/>
        <bgColor indexed="64"/>
      </patternFill>
    </fill>
    <fill>
      <patternFill patternType="solid">
        <fgColor rgb="FF9BC2E6"/>
        <bgColor indexed="64"/>
      </patternFill>
    </fill>
    <fill>
      <patternFill patternType="solid">
        <fgColor theme="4" tint="0.39994506668294322"/>
        <bgColor indexed="64"/>
      </patternFill>
    </fill>
    <fill>
      <patternFill patternType="solid">
        <fgColor rgb="FFE9F2FB"/>
        <bgColor indexed="64"/>
      </patternFill>
    </fill>
    <fill>
      <patternFill patternType="solid">
        <fgColor rgb="FFD5E6F7"/>
        <bgColor indexed="64"/>
      </patternFill>
    </fill>
    <fill>
      <patternFill patternType="solid">
        <fgColor theme="0" tint="-0.14999847407452621"/>
        <bgColor indexed="64"/>
      </patternFill>
    </fill>
    <fill>
      <patternFill patternType="solid">
        <fgColor theme="9" tint="0.59999389629810485"/>
        <bgColor indexed="64"/>
      </patternFill>
    </fill>
  </fills>
  <borders count="43">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style="thin">
        <color indexed="64"/>
      </right>
      <top style="thin">
        <color auto="1"/>
      </top>
      <bottom style="thin">
        <color auto="1"/>
      </bottom>
      <diagonal/>
    </border>
    <border>
      <left style="double">
        <color indexed="64"/>
      </left>
      <right/>
      <top style="thin">
        <color auto="1"/>
      </top>
      <bottom style="thin">
        <color auto="1"/>
      </bottom>
      <diagonal/>
    </border>
    <border>
      <left style="double">
        <color indexed="64"/>
      </left>
      <right/>
      <top/>
      <bottom/>
      <diagonal/>
    </border>
    <border>
      <left style="double">
        <color indexed="64"/>
      </left>
      <right/>
      <top/>
      <bottom style="thin">
        <color indexed="64"/>
      </bottom>
      <diagonal/>
    </border>
    <border>
      <left/>
      <right style="thin">
        <color auto="1"/>
      </right>
      <top style="thin">
        <color auto="1"/>
      </top>
      <bottom style="thin">
        <color theme="0" tint="-0.14996795556505021"/>
      </bottom>
      <diagonal/>
    </border>
    <border>
      <left/>
      <right/>
      <top style="thin">
        <color auto="1"/>
      </top>
      <bottom style="thin">
        <color theme="0" tint="-0.14996795556505021"/>
      </bottom>
      <diagonal/>
    </border>
    <border>
      <left/>
      <right/>
      <top style="thin">
        <color theme="0" tint="-0.14996795556505021"/>
      </top>
      <bottom style="thin">
        <color theme="0" tint="-0.14996795556505021"/>
      </bottom>
      <diagonal/>
    </border>
    <border>
      <left/>
      <right style="thin">
        <color auto="1"/>
      </right>
      <top style="thin">
        <color theme="0" tint="-0.14996795556505021"/>
      </top>
      <bottom/>
      <diagonal/>
    </border>
    <border>
      <left/>
      <right/>
      <top style="thin">
        <color theme="0" tint="-0.14996795556505021"/>
      </top>
      <bottom/>
      <diagonal/>
    </border>
    <border>
      <left style="double">
        <color indexed="64"/>
      </left>
      <right/>
      <top style="thin">
        <color indexed="64"/>
      </top>
      <bottom style="thin">
        <color theme="0" tint="-0.14996795556505021"/>
      </bottom>
      <diagonal/>
    </border>
    <border>
      <left style="double">
        <color indexed="64"/>
      </left>
      <right/>
      <top style="thin">
        <color theme="0" tint="-0.14996795556505021"/>
      </top>
      <bottom style="thin">
        <color theme="0" tint="-0.14996795556505021"/>
      </bottom>
      <diagonal/>
    </border>
    <border>
      <left style="double">
        <color indexed="64"/>
      </left>
      <right/>
      <top style="thin">
        <color auto="1"/>
      </top>
      <bottom/>
      <diagonal/>
    </border>
    <border>
      <left/>
      <right/>
      <top/>
      <bottom style="thin">
        <color theme="0" tint="-0.14996795556505021"/>
      </bottom>
      <diagonal/>
    </border>
    <border>
      <left style="double">
        <color indexed="64"/>
      </left>
      <right style="thin">
        <color auto="1"/>
      </right>
      <top/>
      <bottom style="thin">
        <color theme="0" tint="-0.14996795556505021"/>
      </bottom>
      <diagonal/>
    </border>
    <border>
      <left style="thin">
        <color auto="1"/>
      </left>
      <right/>
      <top/>
      <bottom style="thin">
        <color theme="0" tint="-0.14996795556505021"/>
      </bottom>
      <diagonal/>
    </border>
    <border>
      <left style="double">
        <color indexed="64"/>
      </left>
      <right style="thin">
        <color auto="1"/>
      </right>
      <top style="thin">
        <color theme="0" tint="-0.14996795556505021"/>
      </top>
      <bottom/>
      <diagonal/>
    </border>
    <border>
      <left style="thin">
        <color auto="1"/>
      </left>
      <right/>
      <top style="thin">
        <color theme="0" tint="-0.14996795556505021"/>
      </top>
      <bottom/>
      <diagonal/>
    </border>
    <border>
      <left/>
      <right style="thin">
        <color auto="1"/>
      </right>
      <top/>
      <bottom style="thin">
        <color auto="1"/>
      </bottom>
      <diagonal/>
    </border>
    <border>
      <left style="double">
        <color auto="1"/>
      </left>
      <right style="double">
        <color auto="1"/>
      </right>
      <top style="thin">
        <color auto="1"/>
      </top>
      <bottom style="thin">
        <color auto="1"/>
      </bottom>
      <diagonal/>
    </border>
    <border>
      <left/>
      <right style="thin">
        <color auto="1"/>
      </right>
      <top/>
      <bottom/>
      <diagonal/>
    </border>
    <border>
      <left style="double">
        <color auto="1"/>
      </left>
      <right/>
      <top style="thin">
        <color theme="0" tint="-0.14996795556505021"/>
      </top>
      <bottom/>
      <diagonal/>
    </border>
    <border>
      <left/>
      <right/>
      <top style="medium">
        <color theme="1" tint="0.499984740745262"/>
      </top>
      <bottom/>
      <diagonal/>
    </border>
    <border>
      <left style="thin">
        <color theme="0"/>
      </left>
      <right style="thin">
        <color theme="0"/>
      </right>
      <top/>
      <bottom/>
      <diagonal/>
    </border>
    <border>
      <left style="double">
        <color indexed="64"/>
      </left>
      <right/>
      <top/>
      <bottom style="thin">
        <color theme="0" tint="-0.14996795556505021"/>
      </bottom>
      <diagonal/>
    </border>
    <border>
      <left/>
      <right style="thin">
        <color theme="0"/>
      </right>
      <top/>
      <bottom/>
      <diagonal/>
    </border>
    <border>
      <left style="thin">
        <color theme="0"/>
      </left>
      <right/>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double">
        <color auto="1"/>
      </left>
      <right style="double">
        <color auto="1"/>
      </right>
      <top style="double">
        <color auto="1"/>
      </top>
      <bottom style="double">
        <color auto="1"/>
      </bottom>
      <diagonal/>
    </border>
    <border>
      <left style="thin">
        <color auto="1"/>
      </left>
      <right/>
      <top style="thin">
        <color auto="1"/>
      </top>
      <bottom style="thin">
        <color theme="0" tint="-0.14996795556505021"/>
      </bottom>
      <diagonal/>
    </border>
    <border>
      <left style="dashDot">
        <color theme="0" tint="-0.24994659260841701"/>
      </left>
      <right/>
      <top/>
      <bottom/>
      <diagonal/>
    </border>
    <border>
      <left style="thin">
        <color auto="1"/>
      </left>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style="thin">
        <color theme="0" tint="-0.34998626667073579"/>
      </left>
      <right/>
      <top style="thin">
        <color auto="1"/>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cellStyleXfs>
  <cellXfs count="193">
    <xf numFmtId="0" fontId="0" fillId="0" borderId="0" xfId="0"/>
    <xf numFmtId="0" fontId="5" fillId="0" borderId="0" xfId="0" applyFont="1"/>
    <xf numFmtId="0" fontId="7" fillId="0" borderId="0" xfId="0" applyFont="1" applyAlignment="1">
      <alignment horizontal="center"/>
    </xf>
    <xf numFmtId="0" fontId="5" fillId="0" borderId="0" xfId="0" applyFont="1" applyAlignment="1">
      <alignment horizontal="center"/>
    </xf>
    <xf numFmtId="0" fontId="5" fillId="0" borderId="1" xfId="0" applyFont="1" applyBorder="1"/>
    <xf numFmtId="0" fontId="6" fillId="0" borderId="0" xfId="0" applyFont="1"/>
    <xf numFmtId="0" fontId="3" fillId="2" borderId="3" xfId="0" applyFont="1" applyFill="1" applyBorder="1" applyAlignment="1">
      <alignment horizontal="center"/>
    </xf>
    <xf numFmtId="0" fontId="5" fillId="2" borderId="4" xfId="0" applyFont="1" applyFill="1" applyBorder="1"/>
    <xf numFmtId="165" fontId="5" fillId="0" borderId="0" xfId="0" applyNumberFormat="1" applyFont="1" applyBorder="1" applyAlignment="1">
      <alignment horizontal="center"/>
    </xf>
    <xf numFmtId="0" fontId="5" fillId="0" borderId="0" xfId="0" applyFont="1" applyBorder="1"/>
    <xf numFmtId="0" fontId="5" fillId="0" borderId="0" xfId="0" applyFont="1" applyBorder="1" applyAlignment="1">
      <alignment horizontal="center"/>
    </xf>
    <xf numFmtId="44" fontId="5" fillId="0" borderId="1" xfId="0" applyNumberFormat="1" applyFont="1" applyFill="1" applyBorder="1"/>
    <xf numFmtId="168" fontId="5" fillId="0" borderId="0" xfId="3" applyNumberFormat="1" applyFont="1" applyBorder="1" applyAlignment="1">
      <alignment horizontal="right"/>
    </xf>
    <xf numFmtId="168" fontId="4" fillId="3" borderId="0" xfId="0" applyNumberFormat="1" applyFont="1" applyFill="1" applyBorder="1" applyAlignment="1">
      <alignment horizontal="right"/>
    </xf>
    <xf numFmtId="0" fontId="4" fillId="0" borderId="1" xfId="0" applyFont="1" applyBorder="1" applyAlignment="1">
      <alignment horizontal="left"/>
    </xf>
    <xf numFmtId="43" fontId="4" fillId="0" borderId="1" xfId="0" applyNumberFormat="1" applyFont="1" applyBorder="1" applyAlignment="1">
      <alignment horizontal="right"/>
    </xf>
    <xf numFmtId="43" fontId="7" fillId="0" borderId="1" xfId="0" applyNumberFormat="1" applyFont="1" applyBorder="1"/>
    <xf numFmtId="170" fontId="5" fillId="0" borderId="0" xfId="0" applyNumberFormat="1" applyFont="1" applyBorder="1"/>
    <xf numFmtId="0" fontId="4" fillId="0" borderId="9" xfId="0" applyFont="1" applyBorder="1"/>
    <xf numFmtId="0" fontId="5" fillId="0" borderId="7" xfId="0" applyFont="1" applyBorder="1"/>
    <xf numFmtId="0" fontId="4" fillId="0" borderId="10" xfId="0" applyFont="1" applyBorder="1"/>
    <xf numFmtId="0" fontId="11" fillId="2" borderId="5" xfId="0" applyFont="1" applyFill="1" applyBorder="1" applyAlignment="1">
      <alignment horizontal="left"/>
    </xf>
    <xf numFmtId="0" fontId="11" fillId="3" borderId="0" xfId="0" applyFont="1" applyFill="1" applyBorder="1" applyAlignment="1">
      <alignment horizontal="left"/>
    </xf>
    <xf numFmtId="0" fontId="4" fillId="0" borderId="13" xfId="0" applyFont="1" applyFill="1" applyBorder="1"/>
    <xf numFmtId="0" fontId="5" fillId="0" borderId="2" xfId="0" applyFont="1" applyBorder="1"/>
    <xf numFmtId="0" fontId="4" fillId="0" borderId="14" xfId="0" applyFont="1" applyFill="1" applyBorder="1"/>
    <xf numFmtId="0" fontId="5" fillId="0" borderId="17" xfId="0" applyFont="1" applyBorder="1"/>
    <xf numFmtId="0" fontId="4" fillId="0" borderId="18" xfId="0" applyFont="1" applyBorder="1"/>
    <xf numFmtId="0" fontId="5" fillId="0" borderId="15" xfId="0" applyFont="1" applyBorder="1"/>
    <xf numFmtId="0" fontId="5" fillId="0" borderId="19" xfId="0" applyFont="1" applyBorder="1"/>
    <xf numFmtId="0" fontId="4" fillId="0" borderId="20" xfId="0" applyFont="1" applyBorder="1"/>
    <xf numFmtId="0" fontId="12" fillId="0" borderId="0" xfId="0" applyFont="1"/>
    <xf numFmtId="0" fontId="12" fillId="0" borderId="0" xfId="0" applyFont="1" applyBorder="1" applyAlignment="1">
      <alignment wrapText="1"/>
    </xf>
    <xf numFmtId="170" fontId="5" fillId="0" borderId="0" xfId="0" applyNumberFormat="1" applyFont="1" applyFill="1" applyBorder="1"/>
    <xf numFmtId="170" fontId="5" fillId="0" borderId="0" xfId="3" applyNumberFormat="1" applyFont="1" applyFill="1" applyBorder="1"/>
    <xf numFmtId="0" fontId="13" fillId="0" borderId="0" xfId="0" applyFont="1"/>
    <xf numFmtId="0" fontId="5" fillId="0" borderId="0" xfId="0" applyFont="1" applyAlignment="1"/>
    <xf numFmtId="0" fontId="5" fillId="0" borderId="0" xfId="0" applyFont="1" applyAlignment="1">
      <alignment vertical="center"/>
    </xf>
    <xf numFmtId="165" fontId="4" fillId="0" borderId="0" xfId="0" applyNumberFormat="1" applyFont="1" applyFill="1" applyBorder="1"/>
    <xf numFmtId="165" fontId="5" fillId="0" borderId="0" xfId="4" applyNumberFormat="1" applyFont="1" applyFill="1" applyBorder="1"/>
    <xf numFmtId="165" fontId="7" fillId="0" borderId="0" xfId="4" applyNumberFormat="1" applyFont="1" applyFill="1" applyBorder="1"/>
    <xf numFmtId="43" fontId="4" fillId="0" borderId="8" xfId="1" applyFont="1" applyFill="1" applyBorder="1"/>
    <xf numFmtId="172" fontId="4" fillId="0" borderId="11" xfId="1" applyNumberFormat="1" applyFont="1" applyFill="1" applyBorder="1"/>
    <xf numFmtId="0" fontId="4" fillId="3" borderId="0" xfId="0" applyFont="1" applyFill="1" applyAlignment="1">
      <alignment horizontal="center"/>
    </xf>
    <xf numFmtId="167" fontId="14" fillId="0" borderId="0" xfId="2" applyNumberFormat="1" applyFont="1" applyBorder="1"/>
    <xf numFmtId="167" fontId="14" fillId="0" borderId="0" xfId="2" applyNumberFormat="1" applyFont="1" applyFill="1" applyBorder="1"/>
    <xf numFmtId="167" fontId="14" fillId="0" borderId="0" xfId="2" applyNumberFormat="1" applyFont="1"/>
    <xf numFmtId="0" fontId="7" fillId="0" borderId="1" xfId="0" applyFont="1" applyBorder="1"/>
    <xf numFmtId="167" fontId="14" fillId="0" borderId="23" xfId="2" applyNumberFormat="1" applyFont="1" applyBorder="1"/>
    <xf numFmtId="167" fontId="14" fillId="0" borderId="21" xfId="2" applyNumberFormat="1" applyFont="1" applyBorder="1"/>
    <xf numFmtId="176" fontId="5" fillId="0" borderId="1" xfId="0" applyNumberFormat="1" applyFont="1" applyFill="1" applyBorder="1"/>
    <xf numFmtId="177" fontId="4" fillId="0" borderId="1" xfId="0" applyNumberFormat="1" applyFont="1" applyBorder="1"/>
    <xf numFmtId="178" fontId="4" fillId="0" borderId="0" xfId="1" applyNumberFormat="1" applyFont="1" applyBorder="1" applyAlignment="1">
      <alignment horizontal="right"/>
    </xf>
    <xf numFmtId="178" fontId="7" fillId="0" borderId="0" xfId="1" applyNumberFormat="1" applyFont="1" applyBorder="1"/>
    <xf numFmtId="178" fontId="4" fillId="0" borderId="0" xfId="1" applyNumberFormat="1" applyFont="1" applyBorder="1"/>
    <xf numFmtId="177" fontId="4" fillId="0" borderId="1" xfId="0" applyNumberFormat="1" applyFont="1" applyBorder="1" applyAlignment="1">
      <alignment horizontal="right"/>
    </xf>
    <xf numFmtId="0" fontId="4" fillId="0" borderId="9" xfId="0" applyFont="1" applyBorder="1" applyAlignment="1">
      <alignment vertical="center"/>
    </xf>
    <xf numFmtId="0" fontId="4" fillId="0" borderId="10" xfId="0" applyFont="1" applyBorder="1" applyAlignment="1">
      <alignment vertical="center"/>
    </xf>
    <xf numFmtId="172" fontId="4" fillId="0" borderId="11" xfId="1" applyNumberFormat="1" applyFont="1" applyFill="1" applyBorder="1" applyAlignment="1">
      <alignment vertical="center"/>
    </xf>
    <xf numFmtId="0" fontId="5" fillId="0" borderId="1" xfId="0" applyFont="1" applyBorder="1" applyAlignment="1">
      <alignment vertical="center"/>
    </xf>
    <xf numFmtId="0" fontId="4" fillId="0" borderId="13" xfId="0" applyFont="1" applyFill="1" applyBorder="1" applyAlignment="1"/>
    <xf numFmtId="0" fontId="4" fillId="0" borderId="14" xfId="0" applyFont="1" applyFill="1" applyBorder="1" applyAlignment="1"/>
    <xf numFmtId="0" fontId="5" fillId="0" borderId="7" xfId="0" applyFont="1" applyBorder="1" applyAlignment="1"/>
    <xf numFmtId="0" fontId="5" fillId="0" borderId="15" xfId="0" applyFont="1" applyBorder="1" applyAlignment="1"/>
    <xf numFmtId="168" fontId="4" fillId="3" borderId="0" xfId="0" applyNumberFormat="1" applyFont="1" applyFill="1" applyBorder="1" applyAlignment="1">
      <alignment horizontal="center"/>
    </xf>
    <xf numFmtId="176" fontId="7" fillId="0" borderId="0" xfId="3" applyNumberFormat="1" applyFont="1" applyBorder="1"/>
    <xf numFmtId="176" fontId="7" fillId="0" borderId="0" xfId="3" applyNumberFormat="1" applyFont="1"/>
    <xf numFmtId="176" fontId="7" fillId="0" borderId="1" xfId="3" applyNumberFormat="1" applyFont="1" applyBorder="1"/>
    <xf numFmtId="43" fontId="5" fillId="0" borderId="16" xfId="1" applyFont="1" applyBorder="1"/>
    <xf numFmtId="43" fontId="5" fillId="0" borderId="12" xfId="1" applyFont="1" applyBorder="1"/>
    <xf numFmtId="43" fontId="5" fillId="0" borderId="8" xfId="1" applyFont="1" applyFill="1" applyBorder="1" applyAlignment="1">
      <alignment vertical="center"/>
    </xf>
    <xf numFmtId="170" fontId="5" fillId="0" borderId="0" xfId="3" applyNumberFormat="1" applyFont="1" applyFill="1"/>
    <xf numFmtId="180" fontId="5" fillId="0" borderId="0" xfId="0" applyNumberFormat="1" applyFont="1" applyFill="1" applyBorder="1" applyAlignment="1">
      <alignment horizontal="center"/>
    </xf>
    <xf numFmtId="180" fontId="5" fillId="0" borderId="0" xfId="0" applyNumberFormat="1" applyFont="1" applyBorder="1" applyAlignment="1">
      <alignment horizontal="center"/>
    </xf>
    <xf numFmtId="180" fontId="5" fillId="0" borderId="0" xfId="0" applyNumberFormat="1" applyFont="1" applyFill="1" applyAlignment="1">
      <alignment horizontal="center"/>
    </xf>
    <xf numFmtId="170" fontId="5" fillId="0" borderId="0" xfId="0" applyNumberFormat="1" applyFont="1" applyFill="1" applyBorder="1" applyAlignment="1">
      <alignment horizontal="center"/>
    </xf>
    <xf numFmtId="170" fontId="5" fillId="0" borderId="0" xfId="0" applyNumberFormat="1" applyFont="1" applyFill="1"/>
    <xf numFmtId="181" fontId="5" fillId="0" borderId="0" xfId="0" applyNumberFormat="1" applyFont="1" applyFill="1" applyBorder="1" applyAlignment="1">
      <alignment horizontal="center"/>
    </xf>
    <xf numFmtId="181" fontId="5" fillId="0" borderId="0" xfId="0" applyNumberFormat="1" applyFont="1" applyFill="1" applyAlignment="1">
      <alignment horizontal="center"/>
    </xf>
    <xf numFmtId="168" fontId="5" fillId="4" borderId="2" xfId="0" applyNumberFormat="1" applyFont="1" applyFill="1" applyBorder="1" applyAlignment="1">
      <alignment horizontal="center"/>
    </xf>
    <xf numFmtId="168" fontId="5" fillId="0" borderId="0" xfId="0" applyNumberFormat="1" applyFont="1" applyAlignment="1">
      <alignment horizontal="center"/>
    </xf>
    <xf numFmtId="168" fontId="5" fillId="4" borderId="0" xfId="0" applyNumberFormat="1" applyFont="1" applyFill="1" applyBorder="1" applyAlignment="1">
      <alignment horizontal="center"/>
    </xf>
    <xf numFmtId="168" fontId="5" fillId="0" borderId="0" xfId="3" applyNumberFormat="1" applyFont="1" applyBorder="1" applyAlignment="1">
      <alignment horizontal="center"/>
    </xf>
    <xf numFmtId="168" fontId="5" fillId="0" borderId="0" xfId="0" applyNumberFormat="1" applyFont="1" applyBorder="1" applyAlignment="1">
      <alignment horizontal="center"/>
    </xf>
    <xf numFmtId="165" fontId="5" fillId="0" borderId="0" xfId="0" applyNumberFormat="1" applyFont="1" applyFill="1" applyBorder="1" applyAlignment="1">
      <alignment horizontal="left"/>
    </xf>
    <xf numFmtId="0" fontId="15" fillId="0" borderId="0" xfId="0" applyFont="1" applyAlignment="1"/>
    <xf numFmtId="0" fontId="15" fillId="0" borderId="0" xfId="0" applyFont="1" applyAlignment="1">
      <alignment vertical="center"/>
    </xf>
    <xf numFmtId="165" fontId="5" fillId="0" borderId="0" xfId="0" applyNumberFormat="1" applyFont="1" applyBorder="1" applyAlignment="1">
      <alignment horizontal="left"/>
    </xf>
    <xf numFmtId="14" fontId="5" fillId="0" borderId="0" xfId="0" applyNumberFormat="1" applyFont="1" applyBorder="1"/>
    <xf numFmtId="44" fontId="5" fillId="0" borderId="3" xfId="3" applyFont="1" applyFill="1" applyBorder="1"/>
    <xf numFmtId="44" fontId="5" fillId="0" borderId="3" xfId="3" applyFont="1" applyFill="1" applyBorder="1" applyAlignment="1">
      <alignment vertical="center"/>
    </xf>
    <xf numFmtId="178" fontId="4" fillId="0" borderId="1" xfId="1" applyNumberFormat="1" applyFont="1" applyBorder="1" applyAlignment="1">
      <alignment horizontal="right"/>
    </xf>
    <xf numFmtId="178" fontId="4" fillId="0" borderId="1" xfId="1" applyNumberFormat="1" applyFont="1" applyBorder="1"/>
    <xf numFmtId="178" fontId="7" fillId="0" borderId="1" xfId="1" applyNumberFormat="1" applyFont="1" applyBorder="1"/>
    <xf numFmtId="165" fontId="5" fillId="0" borderId="0" xfId="0" applyNumberFormat="1" applyFont="1" applyAlignment="1">
      <alignment horizontal="center"/>
    </xf>
    <xf numFmtId="167" fontId="14" fillId="0" borderId="0" xfId="2" applyNumberFormat="1" applyFont="1" applyFill="1"/>
    <xf numFmtId="167" fontId="14" fillId="0" borderId="0" xfId="2" applyNumberFormat="1" applyFont="1" applyFill="1" applyAlignment="1">
      <alignment horizontal="left"/>
    </xf>
    <xf numFmtId="165" fontId="16" fillId="5" borderId="0" xfId="0" applyNumberFormat="1" applyFont="1" applyFill="1" applyBorder="1" applyProtection="1">
      <protection locked="0"/>
    </xf>
    <xf numFmtId="9" fontId="16" fillId="5" borderId="26" xfId="2" applyFont="1" applyFill="1" applyBorder="1" applyAlignment="1" applyProtection="1">
      <alignment horizontal="center"/>
      <protection locked="0"/>
    </xf>
    <xf numFmtId="170" fontId="16" fillId="5" borderId="28" xfId="3" applyNumberFormat="1" applyFont="1" applyFill="1" applyBorder="1" applyProtection="1">
      <protection locked="0"/>
    </xf>
    <xf numFmtId="170" fontId="16" fillId="5" borderId="0" xfId="3" applyNumberFormat="1" applyFont="1" applyFill="1" applyBorder="1" applyProtection="1">
      <protection locked="0"/>
    </xf>
    <xf numFmtId="165" fontId="16" fillId="5" borderId="0" xfId="4" applyNumberFormat="1" applyFont="1" applyFill="1" applyBorder="1" applyProtection="1">
      <protection locked="0"/>
    </xf>
    <xf numFmtId="170" fontId="16" fillId="5" borderId="30" xfId="3" applyNumberFormat="1" applyFont="1" applyFill="1" applyBorder="1" applyProtection="1">
      <protection locked="0"/>
    </xf>
    <xf numFmtId="170" fontId="16" fillId="5" borderId="1" xfId="3" applyNumberFormat="1" applyFont="1" applyFill="1" applyBorder="1" applyProtection="1">
      <protection locked="0"/>
    </xf>
    <xf numFmtId="43" fontId="4" fillId="5" borderId="8" xfId="1" applyFont="1" applyFill="1" applyBorder="1" applyProtection="1">
      <protection locked="0"/>
    </xf>
    <xf numFmtId="172" fontId="4" fillId="5" borderId="11" xfId="1" applyNumberFormat="1" applyFont="1" applyFill="1" applyBorder="1" applyProtection="1">
      <protection locked="0"/>
    </xf>
    <xf numFmtId="175" fontId="5" fillId="0" borderId="22" xfId="0" applyNumberFormat="1" applyFont="1" applyBorder="1" applyAlignment="1" applyProtection="1">
      <alignment horizontal="center"/>
      <protection locked="0"/>
    </xf>
    <xf numFmtId="43" fontId="5" fillId="5" borderId="0" xfId="3" applyNumberFormat="1" applyFont="1" applyFill="1" applyBorder="1" applyProtection="1">
      <protection locked="0"/>
    </xf>
    <xf numFmtId="43" fontId="5" fillId="5" borderId="0" xfId="3" applyNumberFormat="1" applyFont="1" applyFill="1" applyProtection="1">
      <protection locked="0"/>
    </xf>
    <xf numFmtId="0" fontId="5" fillId="5" borderId="0" xfId="0" applyFont="1" applyFill="1" applyBorder="1" applyAlignment="1" applyProtection="1">
      <alignment horizontal="left"/>
      <protection locked="0"/>
    </xf>
    <xf numFmtId="0" fontId="5" fillId="5" borderId="0" xfId="0" applyFont="1" applyFill="1" applyBorder="1" applyAlignment="1" applyProtection="1">
      <alignment horizontal="center"/>
      <protection locked="0"/>
    </xf>
    <xf numFmtId="0" fontId="5" fillId="5" borderId="0" xfId="0" applyFont="1" applyFill="1" applyAlignment="1" applyProtection="1">
      <alignment horizontal="left"/>
      <protection locked="0"/>
    </xf>
    <xf numFmtId="0" fontId="5" fillId="5" borderId="0" xfId="0" applyFont="1" applyFill="1" applyProtection="1">
      <protection locked="0"/>
    </xf>
    <xf numFmtId="169" fontId="7" fillId="5" borderId="26" xfId="0" applyNumberFormat="1" applyFont="1" applyFill="1" applyBorder="1" applyAlignment="1" applyProtection="1">
      <alignment horizontal="center"/>
      <protection locked="0"/>
    </xf>
    <xf numFmtId="0" fontId="7" fillId="5" borderId="0" xfId="0" applyFont="1" applyFill="1" applyAlignment="1" applyProtection="1">
      <alignment horizontal="center"/>
      <protection locked="0"/>
    </xf>
    <xf numFmtId="0" fontId="7" fillId="5" borderId="0" xfId="0" applyFont="1" applyFill="1" applyBorder="1" applyAlignment="1" applyProtection="1">
      <alignment horizontal="center"/>
      <protection locked="0"/>
    </xf>
    <xf numFmtId="165" fontId="5" fillId="6" borderId="26" xfId="0" applyNumberFormat="1" applyFont="1" applyFill="1" applyBorder="1" applyAlignment="1" applyProtection="1">
      <alignment horizontal="center"/>
      <protection locked="0"/>
    </xf>
    <xf numFmtId="0" fontId="5" fillId="5" borderId="28" xfId="0" applyFont="1" applyFill="1" applyBorder="1" applyAlignment="1" applyProtection="1">
      <alignment horizontal="left"/>
      <protection locked="0"/>
    </xf>
    <xf numFmtId="43" fontId="5" fillId="5" borderId="29" xfId="3" applyNumberFormat="1" applyFont="1" applyFill="1" applyBorder="1" applyAlignment="1" applyProtection="1">
      <alignment horizontal="left"/>
      <protection locked="0"/>
    </xf>
    <xf numFmtId="0" fontId="5" fillId="5" borderId="0" xfId="0" applyFont="1" applyFill="1" applyBorder="1" applyProtection="1">
      <protection locked="0"/>
    </xf>
    <xf numFmtId="170" fontId="5" fillId="5" borderId="0" xfId="3" applyNumberFormat="1" applyFont="1" applyFill="1" applyBorder="1" applyProtection="1">
      <protection locked="0"/>
    </xf>
    <xf numFmtId="170" fontId="5" fillId="5" borderId="0" xfId="3" applyNumberFormat="1" applyFont="1" applyFill="1" applyProtection="1">
      <protection locked="0"/>
    </xf>
    <xf numFmtId="0" fontId="5" fillId="5" borderId="6" xfId="0" applyFont="1" applyFill="1" applyBorder="1" applyProtection="1">
      <protection locked="0"/>
    </xf>
    <xf numFmtId="0" fontId="5" fillId="4" borderId="7" xfId="0" applyFont="1" applyFill="1" applyBorder="1" applyAlignment="1">
      <alignment horizontal="center"/>
    </xf>
    <xf numFmtId="0" fontId="5" fillId="4" borderId="1" xfId="0" applyFont="1" applyFill="1" applyBorder="1" applyAlignment="1">
      <alignment horizontal="center"/>
    </xf>
    <xf numFmtId="0" fontId="5" fillId="4" borderId="21" xfId="0" applyFont="1" applyFill="1" applyBorder="1" applyAlignment="1">
      <alignment horizontal="center"/>
    </xf>
    <xf numFmtId="0" fontId="5" fillId="0" borderId="0" xfId="0" applyNumberFormat="1" applyFont="1" applyBorder="1" applyAlignment="1">
      <alignment horizontal="center"/>
    </xf>
    <xf numFmtId="0" fontId="5" fillId="4" borderId="0" xfId="0" applyFont="1" applyFill="1" applyBorder="1" applyAlignment="1">
      <alignment horizontal="center"/>
    </xf>
    <xf numFmtId="175" fontId="7" fillId="4" borderId="0" xfId="0" applyNumberFormat="1" applyFont="1" applyFill="1" applyBorder="1" applyAlignment="1">
      <alignment horizontal="center"/>
    </xf>
    <xf numFmtId="175" fontId="5" fillId="0" borderId="0" xfId="0" applyNumberFormat="1" applyFont="1"/>
    <xf numFmtId="44" fontId="5" fillId="0" borderId="0" xfId="3" applyFont="1"/>
    <xf numFmtId="0" fontId="17" fillId="0" borderId="0" xfId="0" applyFont="1" applyFill="1"/>
    <xf numFmtId="0" fontId="5" fillId="0" borderId="0" xfId="0" applyNumberFormat="1" applyFont="1" applyBorder="1"/>
    <xf numFmtId="1" fontId="5" fillId="0" borderId="0" xfId="0" applyNumberFormat="1" applyFont="1" applyBorder="1"/>
    <xf numFmtId="175" fontId="7" fillId="0" borderId="0" xfId="0" applyNumberFormat="1" applyFont="1" applyBorder="1"/>
    <xf numFmtId="44" fontId="5" fillId="0" borderId="0" xfId="3" applyNumberFormat="1" applyFont="1" applyBorder="1"/>
    <xf numFmtId="174" fontId="5" fillId="0" borderId="0" xfId="3" applyNumberFormat="1" applyFont="1" applyBorder="1"/>
    <xf numFmtId="182" fontId="5" fillId="0" borderId="0" xfId="0" applyNumberFormat="1" applyFont="1"/>
    <xf numFmtId="0" fontId="5" fillId="0" borderId="0" xfId="3" applyNumberFormat="1" applyFont="1" applyAlignment="1">
      <alignment horizontal="center"/>
    </xf>
    <xf numFmtId="44" fontId="7" fillId="0" borderId="0" xfId="0" applyNumberFormat="1" applyFont="1" applyBorder="1"/>
    <xf numFmtId="0" fontId="5" fillId="0" borderId="0" xfId="0" applyNumberFormat="1" applyFont="1" applyAlignment="1">
      <alignment horizontal="center"/>
    </xf>
    <xf numFmtId="14" fontId="5" fillId="0" borderId="0" xfId="0" applyNumberFormat="1" applyFont="1"/>
    <xf numFmtId="173" fontId="5" fillId="0" borderId="0" xfId="0" applyNumberFormat="1" applyFont="1"/>
    <xf numFmtId="175" fontId="7" fillId="0" borderId="0" xfId="0" applyNumberFormat="1" applyFont="1" applyFill="1" applyBorder="1"/>
    <xf numFmtId="44" fontId="7" fillId="0" borderId="0" xfId="0" applyNumberFormat="1" applyFont="1" applyFill="1" applyBorder="1"/>
    <xf numFmtId="44" fontId="5" fillId="0" borderId="0" xfId="0" applyNumberFormat="1" applyFont="1"/>
    <xf numFmtId="44" fontId="5" fillId="0" borderId="0" xfId="3" applyNumberFormat="1" applyFont="1"/>
    <xf numFmtId="183" fontId="5" fillId="0" borderId="0" xfId="0" applyNumberFormat="1" applyFont="1"/>
    <xf numFmtId="0" fontId="5" fillId="0" borderId="0" xfId="0" applyNumberFormat="1" applyFont="1"/>
    <xf numFmtId="1" fontId="5" fillId="0" borderId="0" xfId="0" applyNumberFormat="1" applyFont="1"/>
    <xf numFmtId="175" fontId="7" fillId="0" borderId="0" xfId="0" applyNumberFormat="1" applyFont="1"/>
    <xf numFmtId="174" fontId="5" fillId="0" borderId="0" xfId="3" applyNumberFormat="1" applyFont="1"/>
    <xf numFmtId="16" fontId="5" fillId="0" borderId="0" xfId="0" applyNumberFormat="1" applyFont="1"/>
    <xf numFmtId="0" fontId="18" fillId="0" borderId="6" xfId="0" applyFont="1" applyBorder="1" applyAlignment="1">
      <alignment horizontal="center" vertical="center"/>
    </xf>
    <xf numFmtId="175" fontId="5" fillId="5" borderId="26" xfId="0" applyNumberFormat="1" applyFont="1" applyFill="1" applyBorder="1" applyAlignment="1" applyProtection="1">
      <alignment horizontal="center"/>
      <protection locked="0"/>
    </xf>
    <xf numFmtId="169" fontId="5" fillId="5" borderId="26" xfId="0" applyNumberFormat="1" applyFont="1" applyFill="1" applyBorder="1" applyAlignment="1" applyProtection="1">
      <alignment horizontal="center"/>
      <protection locked="0"/>
    </xf>
    <xf numFmtId="171" fontId="5" fillId="5" borderId="26" xfId="0" applyNumberFormat="1" applyFont="1" applyFill="1" applyBorder="1" applyAlignment="1" applyProtection="1">
      <alignment horizontal="center"/>
      <protection locked="0"/>
    </xf>
    <xf numFmtId="0" fontId="5" fillId="5" borderId="26" xfId="0" applyFont="1" applyFill="1" applyBorder="1" applyAlignment="1" applyProtection="1">
      <alignment horizontal="center"/>
      <protection locked="0"/>
    </xf>
    <xf numFmtId="9" fontId="16" fillId="5" borderId="31" xfId="2" applyFont="1" applyFill="1" applyBorder="1" applyAlignment="1" applyProtection="1">
      <alignment horizontal="center"/>
      <protection locked="0"/>
    </xf>
    <xf numFmtId="0" fontId="7" fillId="2" borderId="35" xfId="0" applyFont="1" applyFill="1" applyBorder="1" applyAlignment="1">
      <alignment horizontal="center"/>
    </xf>
    <xf numFmtId="0" fontId="7" fillId="2" borderId="4" xfId="0" applyFont="1" applyFill="1" applyBorder="1" applyAlignment="1">
      <alignment horizontal="center"/>
    </xf>
    <xf numFmtId="0" fontId="7" fillId="2" borderId="3" xfId="0" applyFont="1" applyFill="1" applyBorder="1" applyAlignment="1">
      <alignment horizontal="center"/>
    </xf>
    <xf numFmtId="175" fontId="5" fillId="7" borderId="0" xfId="0" applyNumberFormat="1" applyFont="1" applyFill="1" applyAlignment="1" applyProtection="1">
      <alignment horizontal="center"/>
      <protection locked="0"/>
    </xf>
    <xf numFmtId="175" fontId="5" fillId="0" borderId="0" xfId="0" applyNumberFormat="1" applyFont="1" applyAlignment="1">
      <alignment horizontal="center"/>
    </xf>
    <xf numFmtId="0" fontId="7" fillId="2" borderId="36" xfId="0" applyFont="1" applyFill="1" applyBorder="1" applyAlignment="1">
      <alignment horizontal="center"/>
    </xf>
    <xf numFmtId="0" fontId="5" fillId="0" borderId="37" xfId="0" applyFont="1" applyBorder="1" applyAlignment="1">
      <alignment horizontal="center"/>
    </xf>
    <xf numFmtId="0" fontId="5" fillId="0" borderId="38" xfId="0" applyFont="1" applyBorder="1"/>
    <xf numFmtId="0" fontId="5" fillId="0" borderId="9" xfId="0" applyFont="1" applyBorder="1"/>
    <xf numFmtId="0" fontId="5" fillId="8" borderId="9" xfId="0" applyFont="1" applyFill="1" applyBorder="1"/>
    <xf numFmtId="0" fontId="5" fillId="0" borderId="8" xfId="0" applyFont="1" applyBorder="1"/>
    <xf numFmtId="175" fontId="5" fillId="0" borderId="39" xfId="0" applyNumberFormat="1" applyFont="1" applyBorder="1" applyAlignment="1">
      <alignment horizontal="center"/>
    </xf>
    <xf numFmtId="0" fontId="5" fillId="0" borderId="40" xfId="0" applyFont="1" applyBorder="1"/>
    <xf numFmtId="0" fontId="5" fillId="0" borderId="10" xfId="0" applyFont="1" applyBorder="1"/>
    <xf numFmtId="0" fontId="5" fillId="8" borderId="10" xfId="0" applyFont="1" applyFill="1" applyBorder="1"/>
    <xf numFmtId="0" fontId="5" fillId="0" borderId="32" xfId="0" applyFont="1" applyBorder="1"/>
    <xf numFmtId="0" fontId="5" fillId="8" borderId="32" xfId="0" applyFont="1" applyFill="1" applyBorder="1"/>
    <xf numFmtId="0" fontId="5" fillId="8" borderId="41" xfId="0" applyFont="1" applyFill="1" applyBorder="1"/>
    <xf numFmtId="0" fontId="5" fillId="0" borderId="33" xfId="0" applyFont="1" applyBorder="1"/>
    <xf numFmtId="0" fontId="5" fillId="0" borderId="34" xfId="0" applyFont="1" applyBorder="1"/>
    <xf numFmtId="175" fontId="5" fillId="7" borderId="42" xfId="0" applyNumberFormat="1" applyFont="1" applyFill="1" applyBorder="1" applyAlignment="1" applyProtection="1">
      <alignment horizontal="center"/>
      <protection locked="0"/>
    </xf>
    <xf numFmtId="167" fontId="9" fillId="0" borderId="23" xfId="2" applyNumberFormat="1" applyFont="1" applyBorder="1"/>
    <xf numFmtId="167" fontId="9" fillId="0" borderId="21" xfId="2" applyNumberFormat="1" applyFont="1" applyBorder="1"/>
    <xf numFmtId="164" fontId="4" fillId="0" borderId="23" xfId="0" applyNumberFormat="1" applyFont="1" applyBorder="1"/>
    <xf numFmtId="166" fontId="10" fillId="0" borderId="0" xfId="0" applyNumberFormat="1" applyFont="1" applyBorder="1" applyAlignment="1">
      <alignment horizontal="center"/>
    </xf>
    <xf numFmtId="184" fontId="5" fillId="0" borderId="0" xfId="0" applyNumberFormat="1" applyFont="1" applyBorder="1" applyAlignment="1">
      <alignment horizontal="center"/>
    </xf>
    <xf numFmtId="179" fontId="5" fillId="0" borderId="2" xfId="0" applyNumberFormat="1" applyFont="1" applyBorder="1" applyAlignment="1">
      <alignment horizontal="right"/>
    </xf>
    <xf numFmtId="0" fontId="5" fillId="0" borderId="27" xfId="0" applyFont="1" applyBorder="1" applyAlignment="1"/>
    <xf numFmtId="0" fontId="5" fillId="0" borderId="16" xfId="0" applyFont="1" applyBorder="1" applyAlignment="1"/>
    <xf numFmtId="0" fontId="5" fillId="0" borderId="24" xfId="0" applyFont="1" applyBorder="1" applyAlignment="1"/>
    <xf numFmtId="0" fontId="5" fillId="0" borderId="12" xfId="0" applyFont="1" applyBorder="1" applyAlignment="1"/>
    <xf numFmtId="0" fontId="5" fillId="0" borderId="0" xfId="0" applyFont="1" applyBorder="1" applyAlignment="1">
      <alignment horizontal="right"/>
    </xf>
    <xf numFmtId="0" fontId="5" fillId="0" borderId="25" xfId="0" applyFont="1" applyBorder="1" applyAlignment="1">
      <alignment horizontal="left" vertical="top" wrapText="1"/>
    </xf>
    <xf numFmtId="0" fontId="5" fillId="0" borderId="0" xfId="0" applyFont="1" applyBorder="1" applyAlignment="1">
      <alignment horizontal="left" vertical="top" wrapText="1"/>
    </xf>
  </cellXfs>
  <cellStyles count="5">
    <cellStyle name="Comma" xfId="1" builtinId="3"/>
    <cellStyle name="Currency" xfId="3" builtinId="4"/>
    <cellStyle name="Hyperlink" xfId="4" builtinId="8"/>
    <cellStyle name="Normal" xfId="0" builtinId="0"/>
    <cellStyle name="Percent" xfId="2" builtinId="5"/>
  </cellStyles>
  <dxfs count="174">
    <dxf>
      <font>
        <color theme="0"/>
      </font>
      <border>
        <left style="thin">
          <color theme="0"/>
        </left>
        <right style="thin">
          <color theme="0"/>
        </right>
        <top style="thin">
          <color theme="0"/>
        </top>
        <bottom style="thin">
          <color theme="0"/>
        </bottom>
        <vertical/>
        <horizontal/>
      </border>
    </dxf>
    <dxf>
      <font>
        <color theme="0"/>
      </font>
      <fill>
        <patternFill patternType="none">
          <bgColor auto="1"/>
        </patternFill>
      </fill>
      <border>
        <left/>
        <right/>
        <top/>
        <bottom/>
        <vertical/>
        <horizontal/>
      </border>
    </dxf>
    <dxf>
      <font>
        <b val="0"/>
        <i/>
        <color theme="0" tint="-0.14996795556505021"/>
      </font>
      <fill>
        <patternFill>
          <bgColor rgb="FFF9F9F9"/>
        </patternFill>
      </fill>
    </dxf>
    <dxf>
      <font>
        <color rgb="FF9C0006"/>
      </font>
      <fill>
        <patternFill>
          <bgColor rgb="FFFFC7CE"/>
        </patternFill>
      </fill>
    </dxf>
    <dxf>
      <font>
        <b val="0"/>
        <i/>
        <color theme="0" tint="-0.14996795556505021"/>
      </font>
    </dxf>
    <dxf>
      <font>
        <color rgb="FF9C0006"/>
      </font>
      <fill>
        <patternFill>
          <bgColor rgb="FFFFC7CE"/>
        </patternFill>
      </fill>
    </dxf>
    <dxf>
      <font>
        <b val="0"/>
        <i/>
        <color theme="2" tint="-0.24994659260841701"/>
      </font>
      <fill>
        <patternFill patternType="none">
          <bgColor auto="1"/>
        </patternFill>
      </fill>
    </dxf>
    <dxf>
      <font>
        <b val="0"/>
        <i/>
        <strike val="0"/>
        <condense val="0"/>
        <extend val="0"/>
        <outline val="0"/>
        <shadow val="0"/>
        <u val="none"/>
        <vertAlign val="baseline"/>
        <sz val="11"/>
        <color theme="0" tint="-0.499984740745262"/>
        <name val="Calibri Light"/>
        <family val="2"/>
        <scheme val="major"/>
      </font>
      <numFmt numFmtId="167" formatCode="0.0\ %;;;"/>
      <fill>
        <patternFill patternType="solid">
          <fgColor indexed="64"/>
          <bgColor rgb="FFE9F2FB"/>
        </patternFill>
      </fill>
      <alignment horizontal="left" vertical="bottom" textRotation="0" wrapText="0" indent="0" justifyLastLine="0" shrinkToFit="0" readingOrder="0"/>
    </dxf>
    <dxf>
      <font>
        <b val="0"/>
        <i val="0"/>
        <strike val="0"/>
        <condense val="0"/>
        <extend val="0"/>
        <outline val="0"/>
        <shadow val="0"/>
        <u val="none"/>
        <vertAlign val="baseline"/>
        <sz val="11"/>
        <color theme="0"/>
        <name val="Calibri Light"/>
        <family val="2"/>
        <scheme val="major"/>
      </font>
    </dxf>
    <dxf>
      <font>
        <b val="0"/>
        <i val="0"/>
        <strike val="0"/>
        <condense val="0"/>
        <extend val="0"/>
        <outline val="0"/>
        <shadow val="0"/>
        <u val="none"/>
        <vertAlign val="baseline"/>
        <sz val="11"/>
        <color theme="1"/>
        <name val="Calibri Light"/>
        <family val="2"/>
        <scheme val="major"/>
      </font>
      <numFmt numFmtId="35" formatCode="_(* #,##0.00_);_(* \(#,##0.00\);_(* &quot;-&quot;??_);_(@_)"/>
      <fill>
        <patternFill patternType="solid">
          <fgColor indexed="64"/>
          <bgColor rgb="FFE9F2FB"/>
        </patternFill>
      </fill>
      <alignment horizontal="left" vertical="bottom" textRotation="0" wrapText="0" indent="0" justifyLastLine="0" shrinkToFit="0" readingOrder="0"/>
      <border outline="0">
        <left style="thin">
          <color theme="0"/>
        </left>
      </border>
      <protection locked="0" hidden="0"/>
    </dxf>
    <dxf>
      <font>
        <b val="0"/>
        <i val="0"/>
        <strike val="0"/>
        <condense val="0"/>
        <extend val="0"/>
        <outline val="0"/>
        <shadow val="0"/>
        <u val="none"/>
        <vertAlign val="baseline"/>
        <sz val="11"/>
        <color theme="1"/>
        <name val="Calibri Light"/>
        <family val="2"/>
        <scheme val="major"/>
      </font>
      <numFmt numFmtId="34" formatCode="_(&quot;$&quot;* #,##0.00_);_(&quot;$&quot;* \(#,##0.00\);_(&quot;$&quot;* &quot;-&quot;??_);_(@_)"/>
      <fill>
        <patternFill patternType="none">
          <fgColor indexed="64"/>
          <bgColor indexed="65"/>
        </patternFill>
      </fill>
      <border diagonalUp="0" diagonalDown="0" outline="0">
        <left/>
        <right/>
        <top/>
        <bottom style="thin">
          <color auto="1"/>
        </bottom>
      </border>
    </dxf>
    <dxf>
      <font>
        <strike val="0"/>
        <outline val="0"/>
        <shadow val="0"/>
        <u val="none"/>
        <vertAlign val="baseline"/>
        <sz val="11"/>
        <name val="Calibri Light"/>
        <family val="2"/>
        <scheme val="major"/>
      </font>
      <numFmt numFmtId="165" formatCode=";;;@"/>
      <fill>
        <patternFill patternType="solid">
          <fgColor indexed="64"/>
          <bgColor rgb="FFD5E6F7"/>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fill>
        <patternFill patternType="solid">
          <fgColor indexed="64"/>
          <bgColor rgb="FFE9F2FB"/>
        </patternFill>
      </fill>
      <alignment horizontal="left" vertical="bottom" textRotation="0" wrapText="0" indent="0" justifyLastLine="0" shrinkToFit="0" readingOrder="0"/>
      <border outline="0">
        <right style="thin">
          <color theme="0"/>
        </right>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style="double">
          <color indexed="64"/>
        </left>
        <right/>
        <top/>
        <bottom style="thin">
          <color indexed="64"/>
        </bottom>
      </border>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175" formatCode="m/d;@"/>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175" formatCode="m/d;@"/>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175" formatCode="m/d;@"/>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175" formatCode="m/d;@"/>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numFmt numFmtId="0" formatCode="General"/>
    </dxf>
    <dxf>
      <font>
        <strike val="0"/>
        <outline val="0"/>
        <shadow val="0"/>
        <u val="none"/>
        <vertAlign val="baseline"/>
        <sz val="11"/>
        <name val="Calibri Light"/>
        <family val="2"/>
        <scheme val="major"/>
      </font>
      <numFmt numFmtId="175" formatCode="m/d;@"/>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70" formatCode="_(* #,##0.00_);_(* \(#,##0.00\);;_(@_)"/>
      <fill>
        <patternFill patternType="none">
          <fgColor indexed="64"/>
          <bgColor indexed="65"/>
        </patternFill>
      </fill>
    </dxf>
    <dxf>
      <font>
        <b val="0"/>
        <i val="0"/>
        <strike val="0"/>
        <condense val="0"/>
        <extend val="0"/>
        <outline val="0"/>
        <shadow val="0"/>
        <u val="none"/>
        <vertAlign val="baseline"/>
        <sz val="11"/>
        <color theme="1"/>
        <name val="Calibri Light"/>
        <family val="2"/>
        <scheme val="major"/>
      </font>
      <numFmt numFmtId="18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81" formatCode="m\ /\ d;;;"/>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5" formatCode=";;;@"/>
      <fill>
        <patternFill patternType="none">
          <fgColor indexed="64"/>
          <bgColor indexed="65"/>
        </patternFill>
      </fill>
      <alignment horizontal="left" vertical="bottom" textRotation="0" wrapText="0" indent="0" justifyLastLine="0" shrinkToFit="0" readingOrder="0"/>
      <border diagonalUp="0" diagonalDown="0">
        <left style="double">
          <color indexed="64"/>
        </left>
        <right/>
        <top/>
        <bottom/>
      </border>
    </dxf>
    <dxf>
      <font>
        <b val="0"/>
        <i val="0"/>
        <strike val="0"/>
        <condense val="0"/>
        <extend val="0"/>
        <outline val="0"/>
        <shadow val="0"/>
        <u val="none"/>
        <vertAlign val="baseline"/>
        <sz val="11"/>
        <color theme="1"/>
        <name val="Calibri Light"/>
        <family val="2"/>
        <scheme val="major"/>
      </font>
      <numFmt numFmtId="170" formatCode="_(* #,##0.00_);_(* \(#,##0.00\);;_(@_)"/>
      <fill>
        <patternFill patternType="none">
          <fgColor indexed="64"/>
          <bgColor indexed="65"/>
        </patternFill>
      </fill>
    </dxf>
    <dxf>
      <font>
        <strike val="0"/>
        <outline val="0"/>
        <shadow val="0"/>
        <u val="none"/>
        <vertAlign val="baseline"/>
        <sz val="11"/>
        <name val="Calibri Light"/>
        <family val="2"/>
        <scheme val="major"/>
      </font>
      <numFmt numFmtId="18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81" formatCode="m\ /\ 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65" formatCode=";;;@"/>
      <alignment horizontal="left" vertical="bottom" textRotation="0" wrapText="0" indent="0" justifyLastLine="0" shrinkToFit="0" readingOrder="0"/>
      <border diagonalUp="0" diagonalDown="0">
        <left style="double">
          <color auto="1"/>
        </left>
        <right/>
        <top/>
        <bottom/>
      </border>
    </dxf>
    <dxf>
      <font>
        <b val="0"/>
        <i val="0"/>
        <strike val="0"/>
        <condense val="0"/>
        <extend val="0"/>
        <outline val="0"/>
        <shadow val="0"/>
        <u val="none"/>
        <vertAlign val="baseline"/>
        <sz val="11"/>
        <color theme="1"/>
        <name val="Calibri Light"/>
        <family val="2"/>
        <scheme val="major"/>
      </font>
      <numFmt numFmtId="170" formatCode="_(* #,##0.00_);_(* \(#,##0.00\);;_(@_)"/>
    </dxf>
    <dxf>
      <font>
        <strike val="0"/>
        <outline val="0"/>
        <shadow val="0"/>
        <u val="none"/>
        <vertAlign val="baseline"/>
        <sz val="11"/>
        <name val="Calibri Light"/>
        <family val="2"/>
        <scheme val="major"/>
      </font>
      <numFmt numFmtId="18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81" formatCode="m\ /\ d;;;"/>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0" formatCode="General"/>
      <alignment horizontal="left" vertical="bottom" textRotation="0" wrapText="0" indent="0" justifyLastLine="0" shrinkToFit="0" readingOrder="0"/>
      <border diagonalUp="0" diagonalDown="0">
        <left style="double">
          <color auto="1"/>
        </left>
        <right/>
        <top/>
        <bottom/>
      </border>
    </dxf>
    <dxf>
      <font>
        <strike val="0"/>
        <outline val="0"/>
        <shadow val="0"/>
        <u val="none"/>
        <vertAlign val="baseline"/>
        <sz val="11"/>
        <color theme="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0" formatCode="General"/>
      <alignment horizontal="center" vertical="bottom" textRotation="0" wrapText="0" indent="0" justifyLastLine="0" shrinkToFit="0" readingOrder="0"/>
    </dxf>
    <dxf>
      <font>
        <strike val="0"/>
        <outline val="0"/>
        <shadow val="0"/>
        <u val="none"/>
        <vertAlign val="baseline"/>
        <sz val="11"/>
        <name val="Calibri Light"/>
        <family val="2"/>
        <scheme val="major"/>
      </font>
      <numFmt numFmtId="182" formatCode="m/d;;;@"/>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b val="0"/>
        <i val="0"/>
        <strike val="0"/>
        <condense val="0"/>
        <extend val="0"/>
        <outline val="0"/>
        <shadow val="0"/>
        <u val="none"/>
        <vertAlign val="baseline"/>
        <sz val="11"/>
        <color theme="1"/>
        <name val="Calibri Light"/>
        <family val="2"/>
        <scheme val="major"/>
      </font>
      <numFmt numFmtId="174" formatCode="_(&quot;$&quot;* #,##0.00_);_(&quot;$&quot;* \(#,##0.00\);_(&quot;$&quot;* &quot;-&quot;_);_(@_)"/>
    </dxf>
    <dxf>
      <font>
        <b val="0"/>
        <i val="0"/>
        <strike val="0"/>
        <condense val="0"/>
        <extend val="0"/>
        <outline val="0"/>
        <shadow val="0"/>
        <u val="none"/>
        <vertAlign val="baseline"/>
        <sz val="11"/>
        <color theme="1"/>
        <name val="Calibri Light"/>
        <family val="2"/>
        <scheme val="major"/>
      </font>
      <numFmt numFmtId="174" formatCode="_(&quot;$&quot;* #,##0.00_);_(&quot;$&quot;* \(#,##0.00\);_(&quot;$&quot;* &quot;-&quot;_);_(@_)"/>
    </dxf>
    <dxf>
      <font>
        <b val="0"/>
        <i val="0"/>
        <strike val="0"/>
        <condense val="0"/>
        <extend val="0"/>
        <outline val="0"/>
        <shadow val="0"/>
        <u val="none"/>
        <vertAlign val="baseline"/>
        <sz val="11"/>
        <color theme="1"/>
        <name val="Calibri Light"/>
        <family val="2"/>
        <scheme val="major"/>
      </font>
      <numFmt numFmtId="174" formatCode="_(&quot;$&quot;* #,##0.00_);_(&quot;$&quot;* \(#,##0.00\);_(&quot;$&quot;* &quot;-&quot;_);_(@_)"/>
    </dxf>
    <dxf>
      <font>
        <b val="0"/>
        <i val="0"/>
        <strike val="0"/>
        <condense val="0"/>
        <extend val="0"/>
        <outline val="0"/>
        <shadow val="0"/>
        <u val="none"/>
        <vertAlign val="baseline"/>
        <sz val="11"/>
        <color auto="1"/>
        <name val="Calibri Light"/>
        <family val="2"/>
        <scheme val="major"/>
      </font>
      <numFmt numFmtId="34" formatCode="_(&quot;$&quot;* #,##0.00_);_(&quot;$&quot;* \(#,##0.00\);_(&quot;$&quot;* &quot;-&quot;??_);_(@_)"/>
    </dxf>
    <dxf>
      <font>
        <strike val="0"/>
        <outline val="0"/>
        <shadow val="0"/>
        <u val="none"/>
        <vertAlign val="baseline"/>
        <sz val="11"/>
        <color auto="1"/>
        <name val="Calibri Light"/>
        <family val="2"/>
        <scheme val="major"/>
      </font>
      <numFmt numFmtId="175" formatCode="m/d;@"/>
    </dxf>
    <dxf>
      <font>
        <strike val="0"/>
        <outline val="0"/>
        <shadow val="0"/>
        <u val="none"/>
        <vertAlign val="baseline"/>
        <sz val="11"/>
        <name val="Calibri Light"/>
        <family val="2"/>
        <scheme val="major"/>
      </font>
      <numFmt numFmtId="1" formatCode="0"/>
    </dxf>
    <dxf>
      <font>
        <strike val="0"/>
        <outline val="0"/>
        <shadow val="0"/>
        <u val="none"/>
        <vertAlign val="baseline"/>
        <sz val="11"/>
        <name val="Calibri Light"/>
        <family val="2"/>
        <scheme val="major"/>
      </font>
      <numFmt numFmtId="0" formatCode="General"/>
    </dxf>
    <dxf>
      <font>
        <strike val="0"/>
        <outline val="0"/>
        <shadow val="0"/>
        <u val="none"/>
        <vertAlign val="baseline"/>
        <sz val="11"/>
        <name val="Calibri Light"/>
        <family val="2"/>
        <scheme val="major"/>
      </font>
      <numFmt numFmtId="0" formatCode="General"/>
    </dxf>
    <dxf>
      <font>
        <strike val="0"/>
        <outline val="0"/>
        <shadow val="0"/>
        <u val="none"/>
        <vertAlign val="baseline"/>
        <sz val="11"/>
        <name val="Calibri Light"/>
        <family val="2"/>
        <scheme val="major"/>
      </font>
      <numFmt numFmtId="34" formatCode="_(&quot;$&quot;* #,##0.00_);_(&quot;$&quot;* \(#,##0.00\);_(&quot;$&quot;* &quot;-&quot;??_);_(@_)"/>
    </dxf>
    <dxf>
      <font>
        <strike val="0"/>
        <outline val="0"/>
        <shadow val="0"/>
        <u val="none"/>
        <vertAlign val="baseline"/>
        <sz val="11"/>
        <name val="Calibri Light"/>
        <family val="2"/>
        <scheme val="major"/>
      </font>
      <numFmt numFmtId="175" formatCode="m/d;@"/>
    </dxf>
    <dxf>
      <font>
        <b val="0"/>
        <i val="0"/>
        <strike val="0"/>
        <condense val="0"/>
        <extend val="0"/>
        <outline val="0"/>
        <shadow val="0"/>
        <u val="none"/>
        <vertAlign val="baseline"/>
        <sz val="11"/>
        <color theme="1"/>
        <name val="Calibri Light"/>
        <family val="2"/>
        <scheme val="major"/>
      </font>
      <fill>
        <patternFill patternType="none">
          <fgColor indexed="64"/>
          <bgColor auto="1"/>
        </patternFill>
      </fill>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color theme="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border outline="0">
        <top style="thin">
          <color auto="1"/>
        </top>
      </border>
    </dxf>
    <dxf>
      <font>
        <strike val="0"/>
        <outline val="0"/>
        <shadow val="0"/>
        <u val="none"/>
        <vertAlign val="baseline"/>
        <sz val="11"/>
        <name val="Calibri Light"/>
        <family val="2"/>
        <scheme val="major"/>
      </font>
    </dxf>
    <dxf>
      <border outline="0">
        <bottom style="thin">
          <color auto="1"/>
        </bottom>
      </border>
    </dxf>
    <dxf>
      <font>
        <strike val="0"/>
        <outline val="0"/>
        <shadow val="0"/>
        <u val="none"/>
        <vertAlign val="baseline"/>
        <sz val="11"/>
        <name val="Calibri Light"/>
        <family val="2"/>
        <scheme val="major"/>
      </font>
      <fill>
        <patternFill patternType="solid">
          <fgColor indexed="64"/>
          <bgColor theme="4" tint="0.39994506668294322"/>
        </patternFill>
      </fill>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fill>
        <patternFill patternType="solid">
          <fgColor indexed="64"/>
          <bgColor theme="4" tint="0.3999450666829432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4" formatCode="_(&quot;$&quot;* #,##0.00_);_(&quot;$&quot;* \(#,##0.00\);_(&quot;$&quot;* &quot;-&quot;??_);_(@_)"/>
    </dxf>
    <dxf>
      <numFmt numFmtId="175" formatCode="m/d;@"/>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Light"/>
        <family val="2"/>
        <scheme val="major"/>
      </font>
    </dxf>
    <dxf>
      <font>
        <b val="0"/>
        <i/>
        <strike val="0"/>
        <condense val="0"/>
        <extend val="0"/>
        <outline val="0"/>
        <shadow val="0"/>
        <u val="none"/>
        <vertAlign val="baseline"/>
        <sz val="11"/>
        <color theme="0" tint="-0.499984740745262"/>
        <name val="Calibri Light"/>
        <family val="2"/>
        <scheme val="major"/>
      </font>
      <numFmt numFmtId="167" formatCode="0.0\ %;;;"/>
    </dxf>
    <dxf>
      <font>
        <b val="0"/>
        <i val="0"/>
        <strike val="0"/>
        <condense val="0"/>
        <extend val="0"/>
        <outline val="0"/>
        <shadow val="0"/>
        <u val="none"/>
        <vertAlign val="baseline"/>
        <sz val="11"/>
        <color theme="1"/>
        <name val="Calibri Light"/>
        <family val="2"/>
        <scheme val="major"/>
      </font>
      <numFmt numFmtId="34" formatCode="_(&quot;$&quot;* #,##0.00_);_(&quot;$&quot;* \(#,##0.00\);_(&quot;$&quot;* &quot;-&quot;??_);_(@_)"/>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numFmt numFmtId="35" formatCode="_(* #,##0.00_);_(* \(#,##0.00\);_(* &quot;-&quot;??_);_(@_)"/>
      <fill>
        <patternFill patternType="solid">
          <fgColor indexed="64"/>
          <bgColor rgb="FFE9F2FB"/>
        </patternFill>
      </fill>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fill>
        <patternFill patternType="solid">
          <fgColor indexed="64"/>
          <bgColor rgb="FFE9F2FB"/>
        </patternFill>
      </fill>
      <border outline="0">
        <left style="thin">
          <color theme="0"/>
        </left>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style="double">
          <color indexed="64"/>
        </left>
        <right/>
        <top/>
        <bottom style="thin">
          <color indexed="64"/>
        </bottom>
      </border>
    </dxf>
    <dxf>
      <font>
        <b val="0"/>
        <i val="0"/>
        <strike val="0"/>
        <condense val="0"/>
        <extend val="0"/>
        <outline val="0"/>
        <shadow val="0"/>
        <u val="none"/>
        <vertAlign val="baseline"/>
        <sz val="11"/>
        <color theme="1"/>
        <name val="Calibri Light"/>
        <family val="2"/>
        <scheme val="major"/>
      </font>
      <fill>
        <patternFill patternType="solid">
          <fgColor indexed="64"/>
          <bgColor rgb="FFE9F2FB"/>
        </patternFill>
      </fill>
      <alignment horizontal="left" vertical="bottom" textRotation="0" wrapText="0" indent="0" justifyLastLine="0" shrinkToFit="0" readingOrder="0"/>
      <border outline="0">
        <right style="thin">
          <color theme="0"/>
        </right>
      </border>
      <protection locked="0" hidden="0"/>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dxf>
    <dxf>
      <font>
        <b val="0"/>
        <i/>
        <strike val="0"/>
        <condense val="0"/>
        <extend val="0"/>
        <outline val="0"/>
        <shadow val="0"/>
        <u val="none"/>
        <vertAlign val="baseline"/>
        <sz val="11"/>
        <color theme="0" tint="-0.499984740745262"/>
        <name val="Calibri Light"/>
        <family val="2"/>
        <scheme val="major"/>
      </font>
      <numFmt numFmtId="167" formatCode="0.0\ %;;;"/>
      <fill>
        <patternFill patternType="none">
          <fgColor indexed="64"/>
          <bgColor auto="1"/>
        </patternFill>
      </fill>
    </dxf>
    <dxf>
      <font>
        <b val="0"/>
        <i val="0"/>
        <strike val="0"/>
        <condense val="0"/>
        <extend val="0"/>
        <outline val="0"/>
        <shadow val="0"/>
        <u val="none"/>
        <vertAlign val="baseline"/>
        <sz val="11"/>
        <color theme="1"/>
        <name val="Calibri Light"/>
        <family val="2"/>
        <scheme val="major"/>
      </font>
      <numFmt numFmtId="34" formatCode="_(&quot;$&quot;* #,##0.00_);_(&quot;$&quot;* \(#,##0.00\);_(&quot;$&quot;* &quot;-&quot;??_);_(@_)"/>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numFmt numFmtId="35" formatCode="_(* #,##0.00_);_(* \(#,##0.00\);_(* &quot;-&quot;??_);_(@_)"/>
      <fill>
        <patternFill patternType="solid">
          <fgColor indexed="64"/>
          <bgColor rgb="FFE9F2FB"/>
        </patternFill>
      </fill>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numFmt numFmtId="165"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fill>
        <patternFill patternType="solid">
          <fgColor indexed="64"/>
          <bgColor rgb="FFE9F2FB"/>
        </patternFill>
      </fill>
      <alignment horizontal="center" vertical="bottom" textRotation="0" wrapText="0" indent="0" justifyLastLine="0" shrinkToFit="0" readingOrder="0"/>
      <border outline="0">
        <left style="thin">
          <color theme="0"/>
        </left>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numFmt numFmtId="169" formatCode="#_);;;"/>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border diagonalUp="0" diagonalDown="0" outline="0">
        <left style="double">
          <color indexed="64"/>
        </left>
        <right/>
        <top/>
        <bottom style="thin">
          <color indexed="64"/>
        </bottom>
      </border>
    </dxf>
    <dxf>
      <font>
        <strike val="0"/>
        <outline val="0"/>
        <shadow val="0"/>
        <u val="none"/>
        <vertAlign val="baseline"/>
        <sz val="11"/>
        <name val="Calibri Light"/>
        <family val="2"/>
        <scheme val="major"/>
      </font>
      <fill>
        <patternFill patternType="solid">
          <fgColor indexed="64"/>
          <bgColor rgb="FFE9F2FB"/>
        </patternFill>
      </fill>
      <alignment horizontal="left" vertical="bottom" textRotation="0" wrapText="0" indent="0" justifyLastLine="0" shrinkToFit="0" readingOrder="0"/>
      <border outline="0">
        <right style="thin">
          <color theme="0"/>
        </right>
      </border>
      <protection locked="0" hidden="0"/>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theme="1"/>
        <name val="Calibri Light"/>
        <family val="2"/>
        <scheme val="major"/>
      </font>
      <fill>
        <patternFill patternType="none">
          <fgColor indexed="64"/>
          <bgColor auto="1"/>
        </patternFill>
      </fill>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Light"/>
        <family val="2"/>
        <scheme val="major"/>
      </font>
      <numFmt numFmtId="170" formatCode="_(* #,##0.00_);_(* \(#,##0.00\);;_(@_)"/>
      <fill>
        <patternFill patternType="solid">
          <fgColor indexed="64"/>
          <bgColor rgb="FFE9F2FB"/>
        </patternFill>
      </fill>
      <border outline="0">
        <left style="thin">
          <color theme="0"/>
        </left>
      </border>
      <protection locked="0" hidden="0"/>
    </dxf>
    <dxf>
      <font>
        <b val="0"/>
        <i val="0"/>
        <strike val="0"/>
        <condense val="0"/>
        <extend val="0"/>
        <outline val="0"/>
        <shadow val="0"/>
        <u val="none"/>
        <vertAlign val="baseline"/>
        <sz val="11"/>
        <color theme="1"/>
        <name val="Calibri Light"/>
        <family val="2"/>
        <scheme val="major"/>
      </font>
      <numFmt numFmtId="175" formatCode="m/d;@"/>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top/>
        <bottom/>
      </border>
      <protection locked="0" hidden="0"/>
    </dxf>
    <dxf>
      <font>
        <b val="0"/>
        <i val="0"/>
        <strike val="0"/>
        <condense val="0"/>
        <extend val="0"/>
        <outline val="0"/>
        <shadow val="0"/>
        <u val="none"/>
        <vertAlign val="baseline"/>
        <sz val="11"/>
        <color theme="1"/>
        <name val="Calibri Light"/>
        <family val="2"/>
        <scheme val="major"/>
      </font>
      <fill>
        <patternFill patternType="solid">
          <fgColor indexed="64"/>
          <bgColor rgb="FFE9F2FB"/>
        </patternFill>
      </fill>
      <alignment horizontal="center" vertical="bottom" textRotation="0" wrapText="0" indent="0" justifyLastLine="0" shrinkToFit="0" readingOrder="0"/>
      <border diagonalUp="0" diagonalDown="0" outline="0">
        <left style="double">
          <color auto="1"/>
        </left>
        <right style="thin">
          <color theme="0"/>
        </right>
        <top/>
        <bottom/>
      </border>
      <protection locked="0" hidden="0"/>
    </dxf>
    <dxf>
      <font>
        <b val="0"/>
        <i val="0"/>
        <strike val="0"/>
        <condense val="0"/>
        <extend val="0"/>
        <outline val="0"/>
        <shadow val="0"/>
        <u val="none"/>
        <vertAlign val="baseline"/>
        <sz val="11"/>
        <color theme="1"/>
        <name val="Calibri Light"/>
        <family val="2"/>
        <scheme val="major"/>
      </font>
      <fill>
        <patternFill>
          <fgColor indexed="64"/>
          <bgColor rgb="FFE9F2FB"/>
        </patternFill>
      </fill>
      <protection locked="0" hidden="0"/>
    </dxf>
    <dxf>
      <font>
        <b val="0"/>
        <i val="0"/>
        <strike val="0"/>
        <condense val="0"/>
        <extend val="0"/>
        <outline val="0"/>
        <shadow val="0"/>
        <u val="none"/>
        <vertAlign val="baseline"/>
        <sz val="11"/>
        <color theme="1"/>
        <name val="Calibri Light"/>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Light"/>
        <family val="2"/>
        <scheme val="major"/>
      </font>
      <border diagonalUp="0" diagonalDown="0" outline="0">
        <left/>
        <right/>
        <top/>
        <bottom style="thin">
          <color auto="1"/>
        </bottom>
      </border>
    </dxf>
    <dxf>
      <font>
        <strike val="0"/>
        <outline val="0"/>
        <shadow val="0"/>
        <u val="none"/>
        <vertAlign val="baseline"/>
        <sz val="11"/>
        <name val="Calibri Light"/>
        <family val="2"/>
        <scheme val="major"/>
      </font>
      <numFmt numFmtId="0" formatCode="General"/>
    </dxf>
    <dxf>
      <font>
        <b val="0"/>
        <i val="0"/>
        <strike val="0"/>
        <condense val="0"/>
        <extend val="0"/>
        <outline val="0"/>
        <shadow val="0"/>
        <u val="none"/>
        <vertAlign val="baseline"/>
        <sz val="11"/>
        <color theme="1"/>
        <name val="Calibri Light"/>
        <family val="2"/>
        <scheme val="major"/>
      </font>
    </dxf>
    <dxf>
      <font>
        <i/>
        <strike val="0"/>
        <outline val="0"/>
        <shadow val="0"/>
        <u val="none"/>
        <vertAlign val="baseline"/>
        <sz val="11"/>
        <color theme="0" tint="-0.499984740745262"/>
        <name val="Calibri Light"/>
        <family val="2"/>
        <scheme val="major"/>
      </font>
      <numFmt numFmtId="167" formatCode="0.0\ %;;;"/>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numFmt numFmtId="176" formatCode="\(#,##0.00\);;;"/>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numFmt numFmtId="176" formatCode="\(#,##0.00\);;;"/>
    </dxf>
    <dxf>
      <font>
        <b val="0"/>
        <i val="0"/>
        <strike val="0"/>
        <condense val="0"/>
        <extend val="0"/>
        <outline val="0"/>
        <shadow val="0"/>
        <u val="none"/>
        <vertAlign val="baseline"/>
        <sz val="11"/>
        <color auto="1"/>
        <name val="Calibri Light"/>
        <family val="2"/>
        <scheme val="major"/>
      </font>
      <numFmt numFmtId="35" formatCode="_(* #,##0.00_);_(* \(#,##0.00\);_(* &quot;-&quot;??_);_(@_)"/>
      <border diagonalUp="0" diagonalDown="0" outline="0">
        <left/>
        <right/>
        <top/>
        <bottom style="thin">
          <color auto="1"/>
        </bottom>
      </border>
    </dxf>
    <dxf>
      <font>
        <strike val="0"/>
        <outline val="0"/>
        <shadow val="0"/>
        <u val="none"/>
        <vertAlign val="baseline"/>
        <sz val="11"/>
        <color theme="1" tint="0.249977111117893"/>
        <name val="Calibri Light"/>
        <family val="2"/>
        <scheme val="major"/>
      </font>
      <numFmt numFmtId="170" formatCode="_(* #,##0.00_);_(* \(#,##0.00\);;_(@_)"/>
      <fill>
        <patternFill patternType="solid">
          <fgColor indexed="64"/>
          <bgColor rgb="FFE9F2FB"/>
        </patternFill>
      </fill>
      <protection locked="0" hidden="0"/>
    </dxf>
    <dxf>
      <font>
        <b val="0"/>
        <i val="0"/>
        <strike val="0"/>
        <condense val="0"/>
        <extend val="0"/>
        <outline val="0"/>
        <shadow val="0"/>
        <u val="none"/>
        <vertAlign val="baseline"/>
        <sz val="11"/>
        <color rgb="FF000000"/>
        <name val="Calibri Light"/>
        <family val="2"/>
        <scheme val="major"/>
      </font>
      <numFmt numFmtId="177" formatCode="_(&quot;$&quot;* #,##0.00_);_(&quot;$&quot;* \(#,##0.00\);_(* &quot;-&quot;??_);_(@_)"/>
      <border diagonalUp="0" diagonalDown="0" outline="0">
        <left/>
        <right/>
        <top/>
        <bottom style="thin">
          <color auto="1"/>
        </bottom>
      </border>
    </dxf>
    <dxf>
      <font>
        <b val="0"/>
        <i val="0"/>
        <strike val="0"/>
        <condense val="0"/>
        <extend val="0"/>
        <outline val="0"/>
        <shadow val="0"/>
        <u val="none"/>
        <vertAlign val="baseline"/>
        <sz val="11"/>
        <color theme="1" tint="0.249977111117893"/>
        <name val="Calibri Light"/>
        <family val="2"/>
        <scheme val="major"/>
      </font>
      <fill>
        <patternFill patternType="solid">
          <fgColor indexed="64"/>
          <bgColor rgb="FFE9F2FB"/>
        </patternFill>
      </fill>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rgb="FF000000"/>
        <name val="Calibri Light"/>
        <family val="2"/>
        <scheme val="major"/>
      </font>
      <numFmt numFmtId="35" formatCode="_(* #,##0.00_);_(* \(#,##0.00\);_(* &quot;-&quot;??_);_(@_)"/>
      <alignment horizontal="right" vertical="bottom" textRotation="0" wrapText="0" indent="0" justifyLastLine="0" shrinkToFit="0" readingOrder="0"/>
      <border diagonalUp="0" diagonalDown="0" outline="0">
        <left/>
        <right/>
        <top/>
        <bottom style="thin">
          <color auto="1"/>
        </bottom>
      </border>
    </dxf>
    <dxf>
      <font>
        <strike val="0"/>
        <outline val="0"/>
        <shadow val="0"/>
        <u val="none"/>
        <vertAlign val="baseline"/>
        <sz val="11"/>
        <color theme="1" tint="0.249977111117893"/>
        <name val="Calibri Light"/>
        <family val="2"/>
        <scheme val="major"/>
      </font>
      <fill>
        <patternFill patternType="solid">
          <fgColor indexed="64"/>
          <bgColor rgb="FFE9F2FB"/>
        </patternFill>
      </fill>
      <alignment horizontal="center" vertical="bottom" textRotation="0" wrapText="0" indent="0" justifyLastLine="0" shrinkToFit="0" readingOrder="0"/>
      <border diagonalUp="0" diagonalDown="0" outline="0">
        <left style="thin">
          <color theme="0"/>
        </left>
        <right style="thin">
          <color theme="0"/>
        </right>
        <top/>
        <bottom/>
      </border>
      <protection locked="0" hidden="0"/>
    </dxf>
    <dxf>
      <font>
        <b val="0"/>
        <i val="0"/>
        <strike val="0"/>
        <condense val="0"/>
        <extend val="0"/>
        <outline val="0"/>
        <shadow val="0"/>
        <u val="none"/>
        <vertAlign val="baseline"/>
        <sz val="11"/>
        <color rgb="FF000000"/>
        <name val="Calibri Light"/>
        <family val="2"/>
        <scheme val="major"/>
      </font>
      <alignment horizontal="left" vertical="bottom"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1"/>
        <color theme="1" tint="0.249977111117893"/>
        <name val="Calibri Light"/>
        <family val="2"/>
        <scheme val="major"/>
      </font>
      <numFmt numFmtId="165" formatCode=";;;@"/>
      <fill>
        <patternFill patternType="solid">
          <fgColor indexed="64"/>
          <bgColor rgb="FFE9F2FB"/>
        </patternFill>
      </fill>
      <protection locked="0" hidden="0"/>
    </dxf>
    <dxf>
      <font>
        <strike val="0"/>
        <outline val="0"/>
        <shadow val="0"/>
        <u val="none"/>
        <vertAlign val="baseline"/>
        <sz val="11"/>
        <name val="Calibri Light"/>
        <family val="2"/>
        <scheme val="major"/>
      </font>
    </dxf>
    <dxf>
      <font>
        <strike val="0"/>
        <outline val="0"/>
        <shadow val="0"/>
        <u val="none"/>
        <vertAlign val="baseline"/>
        <sz val="11"/>
        <name val="Calibri Light"/>
        <family val="2"/>
        <scheme val="major"/>
      </font>
    </dxf>
    <dxf>
      <font>
        <b val="0"/>
        <i val="0"/>
        <strike val="0"/>
        <condense val="0"/>
        <extend val="0"/>
        <outline val="0"/>
        <shadow val="0"/>
        <u val="none"/>
        <vertAlign val="baseline"/>
        <sz val="11"/>
        <color rgb="FF000000"/>
        <name val="Calibri Light"/>
        <family val="2"/>
        <scheme val="major"/>
      </font>
      <fill>
        <patternFill patternType="solid">
          <fgColor indexed="64"/>
          <bgColor rgb="FF9BC2E6"/>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Light"/>
        <family val="2"/>
        <scheme val="major"/>
      </font>
    </dxf>
    <dxf>
      <font>
        <strike val="0"/>
        <outline val="0"/>
        <shadow val="0"/>
        <u val="none"/>
        <vertAlign val="baseline"/>
        <name val="Calibri Light"/>
        <family val="2"/>
        <scheme val="major"/>
      </font>
      <numFmt numFmtId="0" formatCode="General"/>
    </dxf>
    <dxf>
      <font>
        <b val="0"/>
        <i val="0"/>
        <strike val="0"/>
        <condense val="0"/>
        <extend val="0"/>
        <outline val="0"/>
        <shadow val="0"/>
        <u val="none"/>
        <vertAlign val="baseline"/>
        <sz val="11"/>
        <color rgb="FF000000"/>
        <name val="Calibri Light"/>
        <family val="2"/>
        <scheme val="major"/>
      </font>
      <numFmt numFmtId="164" formatCode="0.0%"/>
      <border diagonalUp="0" diagonalDown="0" outline="0">
        <left/>
        <right/>
        <top/>
        <bottom/>
      </border>
    </dxf>
    <dxf>
      <font>
        <b val="0"/>
        <i val="0"/>
        <strike val="0"/>
        <condense val="0"/>
        <extend val="0"/>
        <outline val="0"/>
        <shadow val="0"/>
        <u val="none"/>
        <vertAlign val="baseline"/>
        <sz val="11"/>
        <color rgb="FF000000"/>
        <name val="Calibri Light"/>
        <family val="2"/>
        <scheme val="major"/>
      </font>
      <numFmt numFmtId="167" formatCode="0.0\ %;;;"/>
      <border diagonalUp="0" diagonalDown="0">
        <left/>
        <right style="thin">
          <color indexed="64"/>
        </right>
        <vertical/>
      </border>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b val="0"/>
        <i val="0"/>
        <strike val="0"/>
        <condense val="0"/>
        <extend val="0"/>
        <outline val="0"/>
        <shadow val="0"/>
        <u val="none"/>
        <vertAlign val="baseline"/>
        <sz val="11"/>
        <color auto="1"/>
        <name val="Calibri Light"/>
        <family val="2"/>
        <scheme val="major"/>
      </font>
      <numFmt numFmtId="178" formatCode="#,##0.00;;;"/>
    </dxf>
    <dxf>
      <font>
        <b val="0"/>
        <i val="0"/>
        <strike val="0"/>
        <condense val="0"/>
        <extend val="0"/>
        <outline val="0"/>
        <shadow val="0"/>
        <u val="none"/>
        <vertAlign val="baseline"/>
        <sz val="11"/>
        <color theme="1"/>
        <name val="Calibri Light"/>
        <family val="2"/>
        <scheme val="major"/>
      </font>
      <numFmt numFmtId="176" formatCode="\(#,##0.00\);;;"/>
      <fill>
        <patternFill patternType="none">
          <fgColor indexed="64"/>
          <bgColor indexed="65"/>
        </patternFill>
      </fill>
      <border diagonalUp="0" diagonalDown="0" outline="0">
        <left/>
        <right/>
        <top/>
        <bottom style="thin">
          <color auto="1"/>
        </bottom>
      </border>
    </dxf>
    <dxf>
      <font>
        <strike val="0"/>
        <outline val="0"/>
        <shadow val="0"/>
        <u val="none"/>
        <vertAlign val="baseline"/>
        <sz val="11"/>
        <color rgb="FF000000"/>
        <name val="Calibri Light"/>
        <family val="2"/>
        <scheme val="major"/>
      </font>
      <numFmt numFmtId="178" formatCode="#,##0.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Light"/>
        <family val="2"/>
        <scheme val="major"/>
      </font>
      <numFmt numFmtId="177" formatCode="_(&quot;$&quot;* #,##0.00_);_(&quot;$&quot;* \(#,##0.00\);_(* &quot;-&quot;??_);_(@_)"/>
      <alignment horizontal="right" vertical="bottom" textRotation="0" wrapText="0" indent="0" justifyLastLine="0" shrinkToFit="0" readingOrder="0"/>
      <border diagonalUp="0" diagonalDown="0" outline="0">
        <left/>
        <right/>
        <top/>
        <bottom style="thin">
          <color auto="1"/>
        </bottom>
      </border>
    </dxf>
    <dxf>
      <font>
        <strike val="0"/>
        <outline val="0"/>
        <shadow val="0"/>
        <u val="none"/>
        <vertAlign val="baseline"/>
        <name val="Calibri Light"/>
        <family val="2"/>
        <scheme val="major"/>
      </font>
      <numFmt numFmtId="178" formatCode="#,##0.00;;;"/>
    </dxf>
    <dxf>
      <font>
        <b val="0"/>
        <i val="0"/>
        <strike val="0"/>
        <condense val="0"/>
        <extend val="0"/>
        <outline val="0"/>
        <shadow val="0"/>
        <u val="none"/>
        <vertAlign val="baseline"/>
        <sz val="11"/>
        <color rgb="FF000000"/>
        <name val="Calibri Light"/>
        <family val="2"/>
        <scheme val="major"/>
      </font>
      <alignment horizontal="left" vertical="bottom" textRotation="0" wrapText="0" indent="0" justifyLastLine="0" shrinkToFit="0" readingOrder="0"/>
      <border diagonalUp="0" diagonalDown="0" outline="0">
        <left/>
        <right/>
        <top/>
        <bottom style="thin">
          <color auto="1"/>
        </bottom>
      </border>
    </dxf>
    <dxf>
      <font>
        <b val="0"/>
        <i val="0"/>
        <strike val="0"/>
        <condense val="0"/>
        <extend val="0"/>
        <outline val="0"/>
        <shadow val="0"/>
        <u val="none"/>
        <vertAlign val="baseline"/>
        <sz val="11"/>
        <color theme="1"/>
        <name val="Calibri Light"/>
        <family val="2"/>
        <scheme val="major"/>
      </font>
      <numFmt numFmtId="0" formatCode="General"/>
      <fill>
        <patternFill patternType="none">
          <fgColor indexed="64"/>
          <bgColor auto="1"/>
        </patternFill>
      </fill>
    </dxf>
    <dxf>
      <font>
        <strike val="0"/>
        <outline val="0"/>
        <shadow val="0"/>
        <u val="none"/>
        <vertAlign val="baseline"/>
        <name val="Calibri Light"/>
        <family val="2"/>
        <scheme val="major"/>
      </font>
    </dxf>
    <dxf>
      <font>
        <strike val="0"/>
        <outline val="0"/>
        <shadow val="0"/>
        <u val="none"/>
        <vertAlign val="baseline"/>
        <name val="Calibri Light"/>
        <family val="2"/>
        <scheme val="major"/>
      </font>
    </dxf>
    <dxf>
      <font>
        <b val="0"/>
        <i val="0"/>
        <strike val="0"/>
        <condense val="0"/>
        <extend val="0"/>
        <outline val="0"/>
        <shadow val="0"/>
        <u val="none"/>
        <vertAlign val="baseline"/>
        <sz val="11"/>
        <color rgb="FF000000"/>
        <name val="Calibri Light"/>
        <family val="2"/>
        <scheme val="major"/>
      </font>
      <fill>
        <patternFill patternType="solid">
          <fgColor indexed="64"/>
          <bgColor rgb="FF9BC2E6"/>
        </patternFill>
      </fill>
      <alignment horizontal="center" vertical="bottom" textRotation="0" wrapText="0" indent="0" justifyLastLine="0" shrinkToFit="0" readingOrder="0"/>
    </dxf>
    <dxf>
      <border>
        <left style="double">
          <color auto="1"/>
        </left>
        <right/>
        <top/>
        <bottom/>
      </border>
    </dxf>
    <dxf>
      <fill>
        <patternFill>
          <bgColor theme="4" tint="0.39994506668294322"/>
        </patternFill>
      </fill>
      <border>
        <bottom style="thin">
          <color auto="1"/>
        </bottom>
      </border>
    </dxf>
    <dxf>
      <border>
        <left style="double">
          <color auto="1"/>
        </left>
        <right style="thin">
          <color auto="1"/>
        </right>
        <top style="thin">
          <color auto="1"/>
        </top>
        <bottom/>
        <horizontal style="thin">
          <color theme="0" tint="-0.14996795556505021"/>
        </horizontal>
      </border>
    </dxf>
    <dxf>
      <border diagonalUp="0" diagonalDown="0">
        <left/>
        <right/>
        <top style="thin">
          <color auto="1"/>
        </top>
        <bottom/>
        <vertical/>
        <horizontal/>
      </border>
    </dxf>
    <dxf>
      <fill>
        <patternFill>
          <bgColor theme="4" tint="0.39994506668294322"/>
        </patternFill>
      </fill>
      <border>
        <bottom style="thin">
          <color auto="1"/>
        </bottom>
      </border>
    </dxf>
    <dxf>
      <fill>
        <patternFill patternType="none">
          <bgColor auto="1"/>
        </patternFill>
      </fill>
      <border>
        <left style="double">
          <color auto="1"/>
        </left>
        <right style="thin">
          <color auto="1"/>
        </right>
        <top style="thin">
          <color auto="1"/>
        </top>
        <bottom/>
        <horizontal style="thin">
          <color theme="0" tint="-0.14996795556505021"/>
        </horizontal>
      </border>
    </dxf>
  </dxfs>
  <tableStyles count="2" defaultTableStyle="Table Style 1" defaultPivotStyle="PivotStyleMedium7">
    <tableStyle name="Custom style" pivot="0" count="3" xr9:uid="{0A9D75E8-1CFA-4B5E-ADB5-B5E3B460CD85}">
      <tableStyleElement type="wholeTable" dxfId="173"/>
      <tableStyleElement type="headerRow" dxfId="172"/>
      <tableStyleElement type="totalRow" dxfId="171"/>
    </tableStyle>
    <tableStyle name="Table Style 1" pivot="0" count="3" xr9:uid="{7B8946A2-3356-41FA-BC1B-5934280C0855}">
      <tableStyleElement type="wholeTable" dxfId="170"/>
      <tableStyleElement type="headerRow" dxfId="169"/>
      <tableStyleElement type="totalRow" dxfId="168"/>
    </tableStyle>
  </tableStyles>
  <colors>
    <mruColors>
      <color rgb="FFD5E6F7"/>
      <color rgb="FFC4DCF4"/>
      <color rgb="FFE9F2FB"/>
      <color rgb="FFF9F9F9"/>
      <color rgb="FFD6F9FE"/>
      <color rgb="FFBFF6FD"/>
      <color rgb="FF85EDFB"/>
      <color rgb="FF07CEE9"/>
      <color rgb="FFFFB3B5"/>
      <color rgb="FFF5F9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742806174318486E-2"/>
          <c:y val="2.8818783128896453E-2"/>
          <c:w val="0.89015947363989323"/>
          <c:h val="0.79786776948278637"/>
        </c:manualLayout>
      </c:layout>
      <c:areaChart>
        <c:grouping val="standard"/>
        <c:varyColors val="0"/>
        <c:ser>
          <c:idx val="0"/>
          <c:order val="0"/>
          <c:tx>
            <c:v>y_usd</c:v>
          </c:tx>
          <c:spPr>
            <a:solidFill>
              <a:schemeClr val="accent6">
                <a:lumMod val="60000"/>
                <a:lumOff val="40000"/>
              </a:schemeClr>
            </a:solidFill>
            <a:ln w="6350">
              <a:solidFill>
                <a:schemeClr val="tx1"/>
              </a:solidFill>
            </a:ln>
            <a:effectLst/>
          </c:spPr>
          <c:cat>
            <c:multiLvlStrRef>
              <c:f>[0]!forecast_x</c:f>
              <c:multiLvlStrCache>
                <c:ptCount val="57"/>
                <c:lvl>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pt idx="52">
                    <c:v>1</c:v>
                  </c:pt>
                  <c:pt idx="53">
                    <c:v>2</c:v>
                  </c:pt>
                  <c:pt idx="54">
                    <c:v>3</c:v>
                  </c:pt>
                  <c:pt idx="55">
                    <c:v>4</c:v>
                  </c:pt>
                  <c:pt idx="56">
                    <c:v>5</c:v>
                  </c:pt>
                </c:lvl>
                <c:lvl>
                  <c:pt idx="0">
                    <c:v>Nov</c:v>
                  </c:pt>
                  <c:pt idx="21">
                    <c:v>Dec</c:v>
                  </c:pt>
                  <c:pt idx="52">
                    <c:v>Jan</c:v>
                  </c:pt>
                </c:lvl>
              </c:multiLvlStrCache>
              <c:extLst xmlns:c15="http://schemas.microsoft.com/office/drawing/2012/chart"/>
            </c:multiLvlStrRef>
          </c:cat>
          <c:val>
            <c:numRef>
              <c:f>[0]!forecast_y</c:f>
              <c:numCache>
                <c:formatCode>_("$"* #,##0.00_);_("$"* \(#,##0.00\);_("$"* "-"_);_(@_)</c:formatCode>
                <c:ptCount val="57"/>
                <c:pt idx="0">
                  <c:v>2000</c:v>
                </c:pt>
                <c:pt idx="1">
                  <c:v>2000</c:v>
                </c:pt>
                <c:pt idx="2">
                  <c:v>2000</c:v>
                </c:pt>
                <c:pt idx="3">
                  <c:v>2000</c:v>
                </c:pt>
                <c:pt idx="4">
                  <c:v>2000</c:v>
                </c:pt>
                <c:pt idx="5">
                  <c:v>1788</c:v>
                </c:pt>
                <c:pt idx="6">
                  <c:v>2788</c:v>
                </c:pt>
                <c:pt idx="7">
                  <c:v>2788</c:v>
                </c:pt>
                <c:pt idx="8">
                  <c:v>2788</c:v>
                </c:pt>
                <c:pt idx="9">
                  <c:v>2788</c:v>
                </c:pt>
                <c:pt idx="10">
                  <c:v>2788</c:v>
                </c:pt>
                <c:pt idx="11">
                  <c:v>2788</c:v>
                </c:pt>
                <c:pt idx="12">
                  <c:v>2788</c:v>
                </c:pt>
                <c:pt idx="13">
                  <c:v>2788</c:v>
                </c:pt>
                <c:pt idx="14">
                  <c:v>2788</c:v>
                </c:pt>
                <c:pt idx="15">
                  <c:v>2788</c:v>
                </c:pt>
                <c:pt idx="16">
                  <c:v>2788</c:v>
                </c:pt>
                <c:pt idx="17">
                  <c:v>2788</c:v>
                </c:pt>
                <c:pt idx="18">
                  <c:v>2788</c:v>
                </c:pt>
                <c:pt idx="19">
                  <c:v>2788</c:v>
                </c:pt>
                <c:pt idx="20">
                  <c:v>3788</c:v>
                </c:pt>
                <c:pt idx="21">
                  <c:v>2568</c:v>
                </c:pt>
                <c:pt idx="22">
                  <c:v>2568</c:v>
                </c:pt>
                <c:pt idx="23">
                  <c:v>2568</c:v>
                </c:pt>
                <c:pt idx="24">
                  <c:v>2568</c:v>
                </c:pt>
                <c:pt idx="25">
                  <c:v>2568</c:v>
                </c:pt>
                <c:pt idx="26">
                  <c:v>2568</c:v>
                </c:pt>
                <c:pt idx="27">
                  <c:v>2568</c:v>
                </c:pt>
                <c:pt idx="28">
                  <c:v>2568</c:v>
                </c:pt>
                <c:pt idx="29">
                  <c:v>2568</c:v>
                </c:pt>
                <c:pt idx="30">
                  <c:v>2568</c:v>
                </c:pt>
                <c:pt idx="31">
                  <c:v>2568</c:v>
                </c:pt>
                <c:pt idx="32">
                  <c:v>2568</c:v>
                </c:pt>
                <c:pt idx="33">
                  <c:v>2568</c:v>
                </c:pt>
                <c:pt idx="34">
                  <c:v>3568</c:v>
                </c:pt>
                <c:pt idx="35">
                  <c:v>3356</c:v>
                </c:pt>
                <c:pt idx="36">
                  <c:v>3356</c:v>
                </c:pt>
                <c:pt idx="37">
                  <c:v>3356</c:v>
                </c:pt>
                <c:pt idx="38">
                  <c:v>3356</c:v>
                </c:pt>
                <c:pt idx="39">
                  <c:v>3356</c:v>
                </c:pt>
                <c:pt idx="40">
                  <c:v>3356</c:v>
                </c:pt>
                <c:pt idx="41">
                  <c:v>3356</c:v>
                </c:pt>
                <c:pt idx="42">
                  <c:v>3356</c:v>
                </c:pt>
                <c:pt idx="43">
                  <c:v>3356</c:v>
                </c:pt>
                <c:pt idx="44">
                  <c:v>3356</c:v>
                </c:pt>
                <c:pt idx="45">
                  <c:v>3356</c:v>
                </c:pt>
                <c:pt idx="46">
                  <c:v>3356</c:v>
                </c:pt>
                <c:pt idx="47">
                  <c:v>3356</c:v>
                </c:pt>
                <c:pt idx="48">
                  <c:v>4356</c:v>
                </c:pt>
                <c:pt idx="49">
                  <c:v>4356</c:v>
                </c:pt>
                <c:pt idx="50">
                  <c:v>4356</c:v>
                </c:pt>
                <c:pt idx="51">
                  <c:v>4356</c:v>
                </c:pt>
                <c:pt idx="52">
                  <c:v>3136</c:v>
                </c:pt>
                <c:pt idx="53">
                  <c:v>3136</c:v>
                </c:pt>
                <c:pt idx="54">
                  <c:v>3136</c:v>
                </c:pt>
                <c:pt idx="55">
                  <c:v>3136</c:v>
                </c:pt>
                <c:pt idx="56">
                  <c:v>3136</c:v>
                </c:pt>
              </c:numCache>
            </c:numRef>
          </c:val>
          <c:extLst>
            <c:ext xmlns:c16="http://schemas.microsoft.com/office/drawing/2014/chart" uri="{C3380CC4-5D6E-409C-BE32-E72D297353CC}">
              <c16:uniqueId val="{00000000-0515-4DE2-8C5B-DB1773BD7E3D}"/>
            </c:ext>
          </c:extLst>
        </c:ser>
        <c:ser>
          <c:idx val="2"/>
          <c:order val="1"/>
          <c:tx>
            <c:v>x_fluctuation</c:v>
          </c:tx>
          <c:spPr>
            <a:solidFill>
              <a:schemeClr val="bg1"/>
            </a:solidFill>
            <a:ln w="6350">
              <a:solidFill>
                <a:schemeClr val="tx1"/>
              </a:solidFill>
              <a:prstDash val="dash"/>
            </a:ln>
            <a:effectLst/>
          </c:spPr>
          <c:cat>
            <c:multiLvlStrRef>
              <c:f>[0]!forecast_x</c:f>
              <c:multiLvlStrCache>
                <c:ptCount val="57"/>
                <c:lvl>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pt idx="52">
                    <c:v>1</c:v>
                  </c:pt>
                  <c:pt idx="53">
                    <c:v>2</c:v>
                  </c:pt>
                  <c:pt idx="54">
                    <c:v>3</c:v>
                  </c:pt>
                  <c:pt idx="55">
                    <c:v>4</c:v>
                  </c:pt>
                  <c:pt idx="56">
                    <c:v>5</c:v>
                  </c:pt>
                </c:lvl>
                <c:lvl>
                  <c:pt idx="0">
                    <c:v>Nov</c:v>
                  </c:pt>
                  <c:pt idx="21">
                    <c:v>Dec</c:v>
                  </c:pt>
                  <c:pt idx="52">
                    <c:v>Jan</c:v>
                  </c:pt>
                </c:lvl>
              </c:multiLvlStrCache>
              <c:extLst xmlns:c15="http://schemas.microsoft.com/office/drawing/2012/chart"/>
            </c:multiLvlStrRef>
          </c:cat>
          <c:val>
            <c:numRef>
              <c:f>[0]!forecast_fluct</c:f>
              <c:numCache>
                <c:formatCode>_("$"* #,##0.00_);_("$"* \(#,##0.00\);_("$"* "-"_);_(@_)</c:formatCode>
                <c:ptCount val="57"/>
                <c:pt idx="0">
                  <c:v>1880</c:v>
                </c:pt>
                <c:pt idx="1">
                  <c:v>1880</c:v>
                </c:pt>
                <c:pt idx="2">
                  <c:v>1880</c:v>
                </c:pt>
                <c:pt idx="3">
                  <c:v>1880</c:v>
                </c:pt>
                <c:pt idx="4">
                  <c:v>1880</c:v>
                </c:pt>
                <c:pt idx="5">
                  <c:v>1668</c:v>
                </c:pt>
                <c:pt idx="6">
                  <c:v>2668</c:v>
                </c:pt>
                <c:pt idx="7">
                  <c:v>2668</c:v>
                </c:pt>
                <c:pt idx="8">
                  <c:v>2668</c:v>
                </c:pt>
                <c:pt idx="9">
                  <c:v>2668</c:v>
                </c:pt>
                <c:pt idx="10">
                  <c:v>2668</c:v>
                </c:pt>
                <c:pt idx="11">
                  <c:v>2668</c:v>
                </c:pt>
                <c:pt idx="12">
                  <c:v>2668</c:v>
                </c:pt>
                <c:pt idx="13">
                  <c:v>2668</c:v>
                </c:pt>
                <c:pt idx="14">
                  <c:v>2668</c:v>
                </c:pt>
                <c:pt idx="15">
                  <c:v>2668</c:v>
                </c:pt>
                <c:pt idx="16">
                  <c:v>2668</c:v>
                </c:pt>
                <c:pt idx="17">
                  <c:v>2668</c:v>
                </c:pt>
                <c:pt idx="18">
                  <c:v>2668</c:v>
                </c:pt>
                <c:pt idx="19">
                  <c:v>2668</c:v>
                </c:pt>
                <c:pt idx="20">
                  <c:v>3668</c:v>
                </c:pt>
                <c:pt idx="21">
                  <c:v>1948</c:v>
                </c:pt>
                <c:pt idx="22">
                  <c:v>1948</c:v>
                </c:pt>
                <c:pt idx="23">
                  <c:v>1948</c:v>
                </c:pt>
                <c:pt idx="24">
                  <c:v>1948</c:v>
                </c:pt>
                <c:pt idx="25">
                  <c:v>1948</c:v>
                </c:pt>
                <c:pt idx="26">
                  <c:v>1948</c:v>
                </c:pt>
                <c:pt idx="27">
                  <c:v>1948</c:v>
                </c:pt>
                <c:pt idx="28">
                  <c:v>1948</c:v>
                </c:pt>
                <c:pt idx="29">
                  <c:v>1948</c:v>
                </c:pt>
                <c:pt idx="30">
                  <c:v>1948</c:v>
                </c:pt>
                <c:pt idx="31">
                  <c:v>1948</c:v>
                </c:pt>
                <c:pt idx="32">
                  <c:v>1948</c:v>
                </c:pt>
                <c:pt idx="33">
                  <c:v>1948</c:v>
                </c:pt>
                <c:pt idx="34">
                  <c:v>2948</c:v>
                </c:pt>
                <c:pt idx="35">
                  <c:v>2736</c:v>
                </c:pt>
                <c:pt idx="36">
                  <c:v>2736</c:v>
                </c:pt>
                <c:pt idx="37">
                  <c:v>2736</c:v>
                </c:pt>
                <c:pt idx="38">
                  <c:v>2736</c:v>
                </c:pt>
                <c:pt idx="39">
                  <c:v>2736</c:v>
                </c:pt>
                <c:pt idx="40">
                  <c:v>2736</c:v>
                </c:pt>
                <c:pt idx="41">
                  <c:v>2736</c:v>
                </c:pt>
                <c:pt idx="42">
                  <c:v>2736</c:v>
                </c:pt>
                <c:pt idx="43">
                  <c:v>2736</c:v>
                </c:pt>
                <c:pt idx="44">
                  <c:v>2736</c:v>
                </c:pt>
                <c:pt idx="45">
                  <c:v>2736</c:v>
                </c:pt>
                <c:pt idx="46">
                  <c:v>2736</c:v>
                </c:pt>
                <c:pt idx="47">
                  <c:v>2736</c:v>
                </c:pt>
                <c:pt idx="48">
                  <c:v>3736</c:v>
                </c:pt>
                <c:pt idx="49">
                  <c:v>3736</c:v>
                </c:pt>
                <c:pt idx="50">
                  <c:v>3736</c:v>
                </c:pt>
                <c:pt idx="51">
                  <c:v>3736</c:v>
                </c:pt>
                <c:pt idx="52">
                  <c:v>2516</c:v>
                </c:pt>
                <c:pt idx="53">
                  <c:v>2516</c:v>
                </c:pt>
                <c:pt idx="54">
                  <c:v>2516</c:v>
                </c:pt>
                <c:pt idx="55">
                  <c:v>2516</c:v>
                </c:pt>
                <c:pt idx="56">
                  <c:v>2516</c:v>
                </c:pt>
              </c:numCache>
              <c:extLst xmlns:c15="http://schemas.microsoft.com/office/drawing/2012/chart"/>
            </c:numRef>
          </c:val>
          <c:extLst xmlns:c15="http://schemas.microsoft.com/office/drawing/2012/chart">
            <c:ext xmlns:c16="http://schemas.microsoft.com/office/drawing/2014/chart" uri="{C3380CC4-5D6E-409C-BE32-E72D297353CC}">
              <c16:uniqueId val="{00000001-0515-4DE2-8C5B-DB1773BD7E3D}"/>
            </c:ext>
          </c:extLst>
        </c:ser>
        <c:dLbls>
          <c:showLegendKey val="0"/>
          <c:showVal val="0"/>
          <c:showCatName val="0"/>
          <c:showSerName val="0"/>
          <c:showPercent val="0"/>
          <c:showBubbleSize val="0"/>
        </c:dLbls>
        <c:axId val="1304863520"/>
        <c:axId val="1304868440"/>
        <c:extLst/>
      </c:areaChart>
      <c:scatterChart>
        <c:scatterStyle val="lineMarker"/>
        <c:varyColors val="0"/>
        <c:ser>
          <c:idx val="4"/>
          <c:order val="3"/>
          <c:tx>
            <c:strRef>
              <c:f>'Data Preparation'!$AG$1</c:f>
              <c:strCache>
                <c:ptCount val="1"/>
                <c:pt idx="0">
                  <c:v>local min</c:v>
                </c:pt>
              </c:strCache>
              <c:extLst xmlns:c15="http://schemas.microsoft.com/office/drawing/2012/chart"/>
            </c:strRef>
          </c:tx>
          <c:spPr>
            <a:ln w="25400" cap="rnd">
              <a:noFill/>
              <a:round/>
            </a:ln>
            <a:effectLst/>
          </c:spPr>
          <c:marker>
            <c:symbol val="circle"/>
            <c:size val="8"/>
            <c:spPr>
              <a:noFill/>
              <a:ln w="9525">
                <a:solidFill>
                  <a:schemeClr val="tx1"/>
                </a:solidFill>
              </a:ln>
              <a:effectLst/>
            </c:spPr>
          </c:marker>
          <c:dPt>
            <c:idx val="3"/>
            <c:marker>
              <c:symbol val="circle"/>
              <c:size val="8"/>
              <c:spPr>
                <a:noFill/>
                <a:ln w="9525" cap="flat">
                  <a:solidFill>
                    <a:schemeClr val="tx1"/>
                  </a:solidFill>
                </a:ln>
                <a:effectLst/>
              </c:spPr>
            </c:marker>
            <c:bubble3D val="0"/>
            <c:extLst xmlns:c15="http://schemas.microsoft.com/office/drawing/2012/chart">
              <c:ext xmlns:c16="http://schemas.microsoft.com/office/drawing/2014/chart" uri="{C3380CC4-5D6E-409C-BE32-E72D297353CC}">
                <c16:uniqueId val="{00000002-0515-4DE2-8C5B-DB1773BD7E3D}"/>
              </c:ext>
            </c:extLst>
          </c:dPt>
          <c:dPt>
            <c:idx val="5"/>
            <c:marker>
              <c:symbol val="circle"/>
              <c:size val="12"/>
              <c:spPr>
                <a:noFill/>
                <a:ln w="9525">
                  <a:solidFill>
                    <a:schemeClr val="tx1">
                      <a:alpha val="99000"/>
                    </a:schemeClr>
                  </a:solidFill>
                </a:ln>
                <a:effectLst/>
              </c:spPr>
            </c:marker>
            <c:bubble3D val="0"/>
            <c:extLst xmlns:c15="http://schemas.microsoft.com/office/drawing/2012/chart">
              <c:ext xmlns:c16="http://schemas.microsoft.com/office/drawing/2014/chart" uri="{C3380CC4-5D6E-409C-BE32-E72D297353CC}">
                <c16:uniqueId val="{00000003-0515-4DE2-8C5B-DB1773BD7E3D}"/>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errBars>
            <c:errDir val="y"/>
            <c:errBarType val="minus"/>
            <c:errValType val="percentage"/>
            <c:noEndCap val="1"/>
            <c:val val="100"/>
            <c:spPr>
              <a:noFill/>
              <a:ln w="19050" cap="flat" cmpd="sng" algn="ctr">
                <a:solidFill>
                  <a:schemeClr val="tx1">
                    <a:lumMod val="65000"/>
                    <a:lumOff val="35000"/>
                  </a:schemeClr>
                </a:solidFill>
                <a:round/>
              </a:ln>
              <a:effectLst/>
            </c:spPr>
          </c:errBars>
          <c:yVal>
            <c:numRef>
              <c:f>[0]!forecast_minpoint</c:f>
              <c:numCache>
                <c:formatCode>_("$"* #,##0.00_);_("$"* \(#,##0.00\);_("$"* "-"_);_(@_)</c:formatCode>
                <c:ptCount val="57"/>
                <c:pt idx="0">
                  <c:v>#N/A</c:v>
                </c:pt>
                <c:pt idx="1">
                  <c:v>#N/A</c:v>
                </c:pt>
                <c:pt idx="2">
                  <c:v>#N/A</c:v>
                </c:pt>
                <c:pt idx="3">
                  <c:v>#N/A</c:v>
                </c:pt>
                <c:pt idx="4">
                  <c:v>#N/A</c:v>
                </c:pt>
                <c:pt idx="5">
                  <c:v>1668</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515-4DE2-8C5B-DB1773BD7E3D}"/>
            </c:ext>
          </c:extLst>
        </c:ser>
        <c:dLbls>
          <c:showLegendKey val="0"/>
          <c:showVal val="0"/>
          <c:showCatName val="0"/>
          <c:showSerName val="0"/>
          <c:showPercent val="0"/>
          <c:showBubbleSize val="0"/>
        </c:dLbls>
        <c:axId val="1304863520"/>
        <c:axId val="1304868440"/>
        <c:extLst/>
      </c:scatterChart>
      <c:scatterChart>
        <c:scatterStyle val="lineMarker"/>
        <c:varyColors val="0"/>
        <c:ser>
          <c:idx val="3"/>
          <c:order val="2"/>
          <c:tx>
            <c:v>x_months</c:v>
          </c:tx>
          <c:spPr>
            <a:ln w="25400" cap="rnd">
              <a:noFill/>
              <a:round/>
            </a:ln>
            <a:effectLst/>
          </c:spPr>
          <c:marker>
            <c:symbol val="circle"/>
            <c:size val="2"/>
            <c:spPr>
              <a:noFill/>
              <a:ln w="9525">
                <a:noFill/>
              </a:ln>
              <a:effectLst/>
            </c:spPr>
          </c:marker>
          <c:errBars>
            <c:errDir val="x"/>
            <c:errBarType val="both"/>
            <c:errValType val="percentage"/>
            <c:noEndCap val="1"/>
            <c:val val="0"/>
            <c:spPr>
              <a:noFill/>
              <a:ln w="9525" cap="flat" cmpd="sng" algn="ctr">
                <a:solidFill>
                  <a:schemeClr val="tx1">
                    <a:lumMod val="65000"/>
                    <a:lumOff val="35000"/>
                  </a:schemeClr>
                </a:solidFill>
                <a:round/>
              </a:ln>
              <a:effectLst/>
            </c:spPr>
          </c:errBars>
          <c:errBars>
            <c:errDir val="y"/>
            <c:errBarType val="minus"/>
            <c:errValType val="percentage"/>
            <c:noEndCap val="1"/>
            <c:val val="100"/>
            <c:spPr>
              <a:noFill/>
              <a:ln w="6350" cap="flat" cmpd="sng" algn="ctr">
                <a:solidFill>
                  <a:schemeClr val="bg1">
                    <a:lumMod val="85000"/>
                  </a:schemeClr>
                </a:solidFill>
                <a:prstDash val="lgDash"/>
                <a:miter lim="800000"/>
                <a:headEnd w="sm" len="sm"/>
                <a:tailEnd w="sm" len="sm"/>
              </a:ln>
              <a:effectLst/>
            </c:spPr>
          </c:errBars>
          <c:yVal>
            <c:numRef>
              <c:f>[0]!forecast_monday_x</c:f>
              <c:numCache>
                <c:formatCode>General</c:formatCode>
                <c:ptCount val="57"/>
                <c:pt idx="0">
                  <c:v>0</c:v>
                </c:pt>
                <c:pt idx="1">
                  <c:v>999999999</c:v>
                </c:pt>
                <c:pt idx="2">
                  <c:v>0</c:v>
                </c:pt>
                <c:pt idx="3">
                  <c:v>0</c:v>
                </c:pt>
                <c:pt idx="4">
                  <c:v>0</c:v>
                </c:pt>
                <c:pt idx="5">
                  <c:v>0</c:v>
                </c:pt>
                <c:pt idx="6">
                  <c:v>0</c:v>
                </c:pt>
                <c:pt idx="7">
                  <c:v>0</c:v>
                </c:pt>
                <c:pt idx="8">
                  <c:v>999999999</c:v>
                </c:pt>
                <c:pt idx="9">
                  <c:v>0</c:v>
                </c:pt>
                <c:pt idx="10">
                  <c:v>0</c:v>
                </c:pt>
                <c:pt idx="11">
                  <c:v>0</c:v>
                </c:pt>
                <c:pt idx="12">
                  <c:v>0</c:v>
                </c:pt>
                <c:pt idx="13">
                  <c:v>0</c:v>
                </c:pt>
                <c:pt idx="14">
                  <c:v>0</c:v>
                </c:pt>
                <c:pt idx="15">
                  <c:v>999999999</c:v>
                </c:pt>
                <c:pt idx="16">
                  <c:v>0</c:v>
                </c:pt>
                <c:pt idx="17">
                  <c:v>0</c:v>
                </c:pt>
                <c:pt idx="18">
                  <c:v>0</c:v>
                </c:pt>
                <c:pt idx="19">
                  <c:v>0</c:v>
                </c:pt>
                <c:pt idx="20">
                  <c:v>0</c:v>
                </c:pt>
                <c:pt idx="21">
                  <c:v>0</c:v>
                </c:pt>
                <c:pt idx="22">
                  <c:v>999999999</c:v>
                </c:pt>
                <c:pt idx="23">
                  <c:v>0</c:v>
                </c:pt>
                <c:pt idx="24">
                  <c:v>0</c:v>
                </c:pt>
                <c:pt idx="25">
                  <c:v>0</c:v>
                </c:pt>
                <c:pt idx="26">
                  <c:v>0</c:v>
                </c:pt>
                <c:pt idx="27">
                  <c:v>0</c:v>
                </c:pt>
                <c:pt idx="28">
                  <c:v>0</c:v>
                </c:pt>
                <c:pt idx="29">
                  <c:v>999999999</c:v>
                </c:pt>
                <c:pt idx="30">
                  <c:v>0</c:v>
                </c:pt>
                <c:pt idx="31">
                  <c:v>0</c:v>
                </c:pt>
                <c:pt idx="32">
                  <c:v>0</c:v>
                </c:pt>
                <c:pt idx="33">
                  <c:v>0</c:v>
                </c:pt>
                <c:pt idx="34">
                  <c:v>0</c:v>
                </c:pt>
                <c:pt idx="35">
                  <c:v>0</c:v>
                </c:pt>
                <c:pt idx="36">
                  <c:v>999999999</c:v>
                </c:pt>
                <c:pt idx="37">
                  <c:v>0</c:v>
                </c:pt>
                <c:pt idx="38">
                  <c:v>0</c:v>
                </c:pt>
                <c:pt idx="39">
                  <c:v>0</c:v>
                </c:pt>
                <c:pt idx="40">
                  <c:v>0</c:v>
                </c:pt>
                <c:pt idx="41">
                  <c:v>0</c:v>
                </c:pt>
                <c:pt idx="42">
                  <c:v>0</c:v>
                </c:pt>
                <c:pt idx="43">
                  <c:v>999999999</c:v>
                </c:pt>
                <c:pt idx="44">
                  <c:v>0</c:v>
                </c:pt>
                <c:pt idx="45">
                  <c:v>0</c:v>
                </c:pt>
                <c:pt idx="46">
                  <c:v>0</c:v>
                </c:pt>
                <c:pt idx="47">
                  <c:v>0</c:v>
                </c:pt>
                <c:pt idx="48">
                  <c:v>0</c:v>
                </c:pt>
                <c:pt idx="49">
                  <c:v>0</c:v>
                </c:pt>
                <c:pt idx="50">
                  <c:v>999999999</c:v>
                </c:pt>
                <c:pt idx="51">
                  <c:v>0</c:v>
                </c:pt>
                <c:pt idx="52">
                  <c:v>0</c:v>
                </c:pt>
                <c:pt idx="53">
                  <c:v>0</c:v>
                </c:pt>
                <c:pt idx="54">
                  <c:v>0</c:v>
                </c:pt>
                <c:pt idx="55">
                  <c:v>0</c:v>
                </c:pt>
                <c:pt idx="56">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0515-4DE2-8C5B-DB1773BD7E3D}"/>
            </c:ext>
          </c:extLst>
        </c:ser>
        <c:dLbls>
          <c:showLegendKey val="0"/>
          <c:showVal val="0"/>
          <c:showCatName val="0"/>
          <c:showSerName val="0"/>
          <c:showPercent val="0"/>
          <c:showBubbleSize val="0"/>
        </c:dLbls>
        <c:axId val="505185400"/>
        <c:axId val="892964184"/>
        <c:extLst/>
      </c:scatterChart>
      <c:catAx>
        <c:axId val="1304863520"/>
        <c:scaling>
          <c:orientation val="minMax"/>
        </c:scaling>
        <c:delete val="0"/>
        <c:axPos val="b"/>
        <c:numFmt formatCode="d;@" sourceLinked="0"/>
        <c:majorTickMark val="none"/>
        <c:minorTickMark val="in"/>
        <c:tickLblPos val="low"/>
        <c:spPr>
          <a:noFill/>
          <a:ln w="6350" cap="flat" cmpd="sng" algn="ctr">
            <a:solidFill>
              <a:schemeClr val="tx1"/>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8440"/>
        <c:crosses val="autoZero"/>
        <c:auto val="1"/>
        <c:lblAlgn val="ctr"/>
        <c:lblOffset val="100"/>
        <c:tickMarkSkip val="1"/>
        <c:noMultiLvlLbl val="0"/>
      </c:catAx>
      <c:valAx>
        <c:axId val="1304868440"/>
        <c:scaling>
          <c:orientation val="minMax"/>
        </c:scaling>
        <c:delete val="0"/>
        <c:axPos val="l"/>
        <c:majorGridlines>
          <c:spPr>
            <a:ln w="9525" cap="flat" cmpd="sng" algn="ctr">
              <a:solidFill>
                <a:schemeClr val="bg1">
                  <a:lumMod val="75000"/>
                </a:schemeClr>
              </a:solidFill>
              <a:round/>
            </a:ln>
            <a:effectLst/>
          </c:spPr>
        </c:majorGridlines>
        <c:numFmt formatCode="_(#,\ \K;_(\-0,\ \K;_(&quot;$&quot;* &quot; -&quot;??;_(@_)" sourceLinked="0"/>
        <c:majorTickMark val="none"/>
        <c:minorTickMark val="none"/>
        <c:tickLblPos val="nextTo"/>
        <c:spPr>
          <a:noFill/>
          <a:ln>
            <a:solidFill>
              <a:schemeClr val="tx1">
                <a:lumMod val="65000"/>
                <a:lumOff val="35000"/>
              </a:schemeClr>
            </a:solidFill>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3520"/>
        <c:crosses val="autoZero"/>
        <c:crossBetween val="midCat"/>
        <c:majorUnit val="2000"/>
        <c:minorUnit val="1000"/>
      </c:valAx>
      <c:valAx>
        <c:axId val="892964184"/>
        <c:scaling>
          <c:orientation val="minMax"/>
          <c:max val="1"/>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85400"/>
        <c:crosses val="max"/>
        <c:crossBetween val="midCat"/>
      </c:valAx>
      <c:valAx>
        <c:axId val="505185400"/>
        <c:scaling>
          <c:orientation val="minMax"/>
        </c:scaling>
        <c:delete val="1"/>
        <c:axPos val="t"/>
        <c:majorTickMark val="out"/>
        <c:minorTickMark val="none"/>
        <c:tickLblPos val="nextTo"/>
        <c:crossAx val="892964184"/>
        <c:crosses val="max"/>
        <c:crossBetween val="midCat"/>
      </c:valAx>
      <c:spPr>
        <a:solidFill>
          <a:schemeClr val="bg1"/>
        </a:solid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318854787388276E-2"/>
          <c:y val="2.8818783128896453E-2"/>
          <c:w val="0.95046942257217848"/>
          <c:h val="0.79786776948278637"/>
        </c:manualLayout>
      </c:layout>
      <c:areaChart>
        <c:grouping val="standard"/>
        <c:varyColors val="0"/>
        <c:ser>
          <c:idx val="0"/>
          <c:order val="0"/>
          <c:tx>
            <c:v>y_usd</c:v>
          </c:tx>
          <c:spPr>
            <a:solidFill>
              <a:schemeClr val="accent6">
                <a:lumMod val="60000"/>
                <a:lumOff val="40000"/>
              </a:schemeClr>
            </a:solidFill>
            <a:ln w="6350">
              <a:solidFill>
                <a:schemeClr val="tx1"/>
              </a:solidFill>
            </a:ln>
            <a:effectLst/>
          </c:spPr>
          <c:cat>
            <c:multiLvlStrRef>
              <c:f>[0]!forecast_x</c:f>
              <c:multiLvlStrCache>
                <c:ptCount val="57"/>
                <c:lvl>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pt idx="52">
                    <c:v>1</c:v>
                  </c:pt>
                  <c:pt idx="53">
                    <c:v>2</c:v>
                  </c:pt>
                  <c:pt idx="54">
                    <c:v>3</c:v>
                  </c:pt>
                  <c:pt idx="55">
                    <c:v>4</c:v>
                  </c:pt>
                  <c:pt idx="56">
                    <c:v>5</c:v>
                  </c:pt>
                </c:lvl>
                <c:lvl>
                  <c:pt idx="0">
                    <c:v>Nov</c:v>
                  </c:pt>
                  <c:pt idx="21">
                    <c:v>Dec</c:v>
                  </c:pt>
                  <c:pt idx="52">
                    <c:v>Jan</c:v>
                  </c:pt>
                </c:lvl>
              </c:multiLvlStrCache>
              <c:extLst xmlns:c15="http://schemas.microsoft.com/office/drawing/2012/chart"/>
            </c:multiLvlStrRef>
          </c:cat>
          <c:val>
            <c:numRef>
              <c:f>[0]!forecast_y</c:f>
              <c:numCache>
                <c:formatCode>_("$"* #,##0.00_);_("$"* \(#,##0.00\);_("$"* "-"_);_(@_)</c:formatCode>
                <c:ptCount val="57"/>
                <c:pt idx="0">
                  <c:v>2000</c:v>
                </c:pt>
                <c:pt idx="1">
                  <c:v>2000</c:v>
                </c:pt>
                <c:pt idx="2">
                  <c:v>2000</c:v>
                </c:pt>
                <c:pt idx="3">
                  <c:v>2000</c:v>
                </c:pt>
                <c:pt idx="4">
                  <c:v>2000</c:v>
                </c:pt>
                <c:pt idx="5">
                  <c:v>1788</c:v>
                </c:pt>
                <c:pt idx="6">
                  <c:v>2788</c:v>
                </c:pt>
                <c:pt idx="7">
                  <c:v>2788</c:v>
                </c:pt>
                <c:pt idx="8">
                  <c:v>2788</c:v>
                </c:pt>
                <c:pt idx="9">
                  <c:v>2788</c:v>
                </c:pt>
                <c:pt idx="10">
                  <c:v>2788</c:v>
                </c:pt>
                <c:pt idx="11">
                  <c:v>2788</c:v>
                </c:pt>
                <c:pt idx="12">
                  <c:v>2788</c:v>
                </c:pt>
                <c:pt idx="13">
                  <c:v>2788</c:v>
                </c:pt>
                <c:pt idx="14">
                  <c:v>2788</c:v>
                </c:pt>
                <c:pt idx="15">
                  <c:v>2788</c:v>
                </c:pt>
                <c:pt idx="16">
                  <c:v>2788</c:v>
                </c:pt>
                <c:pt idx="17">
                  <c:v>2788</c:v>
                </c:pt>
                <c:pt idx="18">
                  <c:v>2788</c:v>
                </c:pt>
                <c:pt idx="19">
                  <c:v>2788</c:v>
                </c:pt>
                <c:pt idx="20">
                  <c:v>3788</c:v>
                </c:pt>
                <c:pt idx="21">
                  <c:v>2568</c:v>
                </c:pt>
                <c:pt idx="22">
                  <c:v>2568</c:v>
                </c:pt>
                <c:pt idx="23">
                  <c:v>2568</c:v>
                </c:pt>
                <c:pt idx="24">
                  <c:v>2568</c:v>
                </c:pt>
                <c:pt idx="25">
                  <c:v>2568</c:v>
                </c:pt>
                <c:pt idx="26">
                  <c:v>2568</c:v>
                </c:pt>
                <c:pt idx="27">
                  <c:v>2568</c:v>
                </c:pt>
                <c:pt idx="28">
                  <c:v>2568</c:v>
                </c:pt>
                <c:pt idx="29">
                  <c:v>2568</c:v>
                </c:pt>
                <c:pt idx="30">
                  <c:v>2568</c:v>
                </c:pt>
                <c:pt idx="31">
                  <c:v>2568</c:v>
                </c:pt>
                <c:pt idx="32">
                  <c:v>2568</c:v>
                </c:pt>
                <c:pt idx="33">
                  <c:v>2568</c:v>
                </c:pt>
                <c:pt idx="34">
                  <c:v>3568</c:v>
                </c:pt>
                <c:pt idx="35">
                  <c:v>3356</c:v>
                </c:pt>
                <c:pt idx="36">
                  <c:v>3356</c:v>
                </c:pt>
                <c:pt idx="37">
                  <c:v>3356</c:v>
                </c:pt>
                <c:pt idx="38">
                  <c:v>3356</c:v>
                </c:pt>
                <c:pt idx="39">
                  <c:v>3356</c:v>
                </c:pt>
                <c:pt idx="40">
                  <c:v>3356</c:v>
                </c:pt>
                <c:pt idx="41">
                  <c:v>3356</c:v>
                </c:pt>
                <c:pt idx="42">
                  <c:v>3356</c:v>
                </c:pt>
                <c:pt idx="43">
                  <c:v>3356</c:v>
                </c:pt>
                <c:pt idx="44">
                  <c:v>3356</c:v>
                </c:pt>
                <c:pt idx="45">
                  <c:v>3356</c:v>
                </c:pt>
                <c:pt idx="46">
                  <c:v>3356</c:v>
                </c:pt>
                <c:pt idx="47">
                  <c:v>3356</c:v>
                </c:pt>
                <c:pt idx="48">
                  <c:v>4356</c:v>
                </c:pt>
                <c:pt idx="49">
                  <c:v>4356</c:v>
                </c:pt>
                <c:pt idx="50">
                  <c:v>4356</c:v>
                </c:pt>
                <c:pt idx="51">
                  <c:v>4356</c:v>
                </c:pt>
                <c:pt idx="52">
                  <c:v>3136</c:v>
                </c:pt>
                <c:pt idx="53">
                  <c:v>3136</c:v>
                </c:pt>
                <c:pt idx="54">
                  <c:v>3136</c:v>
                </c:pt>
                <c:pt idx="55">
                  <c:v>3136</c:v>
                </c:pt>
                <c:pt idx="56">
                  <c:v>3136</c:v>
                </c:pt>
              </c:numCache>
              <c:extLst xmlns:c15="http://schemas.microsoft.com/office/drawing/2012/chart"/>
            </c:numRef>
          </c:val>
          <c:extLst xmlns:c15="http://schemas.microsoft.com/office/drawing/2012/chart">
            <c:ext xmlns:c16="http://schemas.microsoft.com/office/drawing/2014/chart" uri="{C3380CC4-5D6E-409C-BE32-E72D297353CC}">
              <c16:uniqueId val="{00000000-8B89-47AE-A880-AAEC0C222A7D}"/>
            </c:ext>
          </c:extLst>
        </c:ser>
        <c:ser>
          <c:idx val="2"/>
          <c:order val="1"/>
          <c:tx>
            <c:v>x_fluctuation</c:v>
          </c:tx>
          <c:spPr>
            <a:solidFill>
              <a:schemeClr val="bg1"/>
            </a:solidFill>
            <a:ln w="6350">
              <a:solidFill>
                <a:schemeClr val="tx1"/>
              </a:solidFill>
              <a:prstDash val="dash"/>
            </a:ln>
            <a:effectLst/>
          </c:spPr>
          <c:cat>
            <c:multiLvlStrRef>
              <c:f>[0]!forecast_x</c:f>
              <c:multiLvlStrCache>
                <c:ptCount val="57"/>
                <c:lvl>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pt idx="52">
                    <c:v>1</c:v>
                  </c:pt>
                  <c:pt idx="53">
                    <c:v>2</c:v>
                  </c:pt>
                  <c:pt idx="54">
                    <c:v>3</c:v>
                  </c:pt>
                  <c:pt idx="55">
                    <c:v>4</c:v>
                  </c:pt>
                  <c:pt idx="56">
                    <c:v>5</c:v>
                  </c:pt>
                </c:lvl>
                <c:lvl>
                  <c:pt idx="0">
                    <c:v>Nov</c:v>
                  </c:pt>
                  <c:pt idx="21">
                    <c:v>Dec</c:v>
                  </c:pt>
                  <c:pt idx="52">
                    <c:v>Jan</c:v>
                  </c:pt>
                </c:lvl>
              </c:multiLvlStrCache>
              <c:extLst xmlns:c15="http://schemas.microsoft.com/office/drawing/2012/chart"/>
            </c:multiLvlStrRef>
          </c:cat>
          <c:val>
            <c:numRef>
              <c:f>[0]!forecast_fluct</c:f>
              <c:numCache>
                <c:formatCode>_("$"* #,##0.00_);_("$"* \(#,##0.00\);_("$"* "-"_);_(@_)</c:formatCode>
                <c:ptCount val="57"/>
                <c:pt idx="0">
                  <c:v>1880</c:v>
                </c:pt>
                <c:pt idx="1">
                  <c:v>1880</c:v>
                </c:pt>
                <c:pt idx="2">
                  <c:v>1880</c:v>
                </c:pt>
                <c:pt idx="3">
                  <c:v>1880</c:v>
                </c:pt>
                <c:pt idx="4">
                  <c:v>1880</c:v>
                </c:pt>
                <c:pt idx="5">
                  <c:v>1668</c:v>
                </c:pt>
                <c:pt idx="6">
                  <c:v>2668</c:v>
                </c:pt>
                <c:pt idx="7">
                  <c:v>2668</c:v>
                </c:pt>
                <c:pt idx="8">
                  <c:v>2668</c:v>
                </c:pt>
                <c:pt idx="9">
                  <c:v>2668</c:v>
                </c:pt>
                <c:pt idx="10">
                  <c:v>2668</c:v>
                </c:pt>
                <c:pt idx="11">
                  <c:v>2668</c:v>
                </c:pt>
                <c:pt idx="12">
                  <c:v>2668</c:v>
                </c:pt>
                <c:pt idx="13">
                  <c:v>2668</c:v>
                </c:pt>
                <c:pt idx="14">
                  <c:v>2668</c:v>
                </c:pt>
                <c:pt idx="15">
                  <c:v>2668</c:v>
                </c:pt>
                <c:pt idx="16">
                  <c:v>2668</c:v>
                </c:pt>
                <c:pt idx="17">
                  <c:v>2668</c:v>
                </c:pt>
                <c:pt idx="18">
                  <c:v>2668</c:v>
                </c:pt>
                <c:pt idx="19">
                  <c:v>2668</c:v>
                </c:pt>
                <c:pt idx="20">
                  <c:v>3668</c:v>
                </c:pt>
                <c:pt idx="21">
                  <c:v>1948</c:v>
                </c:pt>
                <c:pt idx="22">
                  <c:v>1948</c:v>
                </c:pt>
                <c:pt idx="23">
                  <c:v>1948</c:v>
                </c:pt>
                <c:pt idx="24">
                  <c:v>1948</c:v>
                </c:pt>
                <c:pt idx="25">
                  <c:v>1948</c:v>
                </c:pt>
                <c:pt idx="26">
                  <c:v>1948</c:v>
                </c:pt>
                <c:pt idx="27">
                  <c:v>1948</c:v>
                </c:pt>
                <c:pt idx="28">
                  <c:v>1948</c:v>
                </c:pt>
                <c:pt idx="29">
                  <c:v>1948</c:v>
                </c:pt>
                <c:pt idx="30">
                  <c:v>1948</c:v>
                </c:pt>
                <c:pt idx="31">
                  <c:v>1948</c:v>
                </c:pt>
                <c:pt idx="32">
                  <c:v>1948</c:v>
                </c:pt>
                <c:pt idx="33">
                  <c:v>1948</c:v>
                </c:pt>
                <c:pt idx="34">
                  <c:v>2948</c:v>
                </c:pt>
                <c:pt idx="35">
                  <c:v>2736</c:v>
                </c:pt>
                <c:pt idx="36">
                  <c:v>2736</c:v>
                </c:pt>
                <c:pt idx="37">
                  <c:v>2736</c:v>
                </c:pt>
                <c:pt idx="38">
                  <c:v>2736</c:v>
                </c:pt>
                <c:pt idx="39">
                  <c:v>2736</c:v>
                </c:pt>
                <c:pt idx="40">
                  <c:v>2736</c:v>
                </c:pt>
                <c:pt idx="41">
                  <c:v>2736</c:v>
                </c:pt>
                <c:pt idx="42">
                  <c:v>2736</c:v>
                </c:pt>
                <c:pt idx="43">
                  <c:v>2736</c:v>
                </c:pt>
                <c:pt idx="44">
                  <c:v>2736</c:v>
                </c:pt>
                <c:pt idx="45">
                  <c:v>2736</c:v>
                </c:pt>
                <c:pt idx="46">
                  <c:v>2736</c:v>
                </c:pt>
                <c:pt idx="47">
                  <c:v>2736</c:v>
                </c:pt>
                <c:pt idx="48">
                  <c:v>3736</c:v>
                </c:pt>
                <c:pt idx="49">
                  <c:v>3736</c:v>
                </c:pt>
                <c:pt idx="50">
                  <c:v>3736</c:v>
                </c:pt>
                <c:pt idx="51">
                  <c:v>3736</c:v>
                </c:pt>
                <c:pt idx="52">
                  <c:v>2516</c:v>
                </c:pt>
                <c:pt idx="53">
                  <c:v>2516</c:v>
                </c:pt>
                <c:pt idx="54">
                  <c:v>2516</c:v>
                </c:pt>
                <c:pt idx="55">
                  <c:v>2516</c:v>
                </c:pt>
                <c:pt idx="56">
                  <c:v>2516</c:v>
                </c:pt>
              </c:numCache>
            </c:numRef>
          </c:val>
          <c:extLst>
            <c:ext xmlns:c16="http://schemas.microsoft.com/office/drawing/2014/chart" uri="{C3380CC4-5D6E-409C-BE32-E72D297353CC}">
              <c16:uniqueId val="{00000004-8B89-47AE-A880-AAEC0C222A7D}"/>
            </c:ext>
          </c:extLst>
        </c:ser>
        <c:dLbls>
          <c:showLegendKey val="0"/>
          <c:showVal val="0"/>
          <c:showCatName val="0"/>
          <c:showSerName val="0"/>
          <c:showPercent val="0"/>
          <c:showBubbleSize val="0"/>
        </c:dLbls>
        <c:axId val="1304863520"/>
        <c:axId val="1304868440"/>
        <c:extLst/>
      </c:areaChart>
      <c:scatterChart>
        <c:scatterStyle val="lineMarker"/>
        <c:varyColors val="0"/>
        <c:ser>
          <c:idx val="4"/>
          <c:order val="3"/>
          <c:tx>
            <c:strRef>
              <c:f>'Data Preparation'!$AG$1</c:f>
              <c:strCache>
                <c:ptCount val="1"/>
                <c:pt idx="0">
                  <c:v>local min</c:v>
                </c:pt>
              </c:strCache>
              <c:extLst xmlns:c15="http://schemas.microsoft.com/office/drawing/2012/chart"/>
            </c:strRef>
          </c:tx>
          <c:spPr>
            <a:ln w="25400" cap="rnd">
              <a:noFill/>
              <a:round/>
            </a:ln>
            <a:effectLst/>
          </c:spPr>
          <c:marker>
            <c:symbol val="circle"/>
            <c:size val="8"/>
            <c:spPr>
              <a:noFill/>
              <a:ln w="9525">
                <a:solidFill>
                  <a:schemeClr val="tx1"/>
                </a:solidFill>
              </a:ln>
              <a:effectLst/>
            </c:spPr>
          </c:marker>
          <c:dPt>
            <c:idx val="3"/>
            <c:marker>
              <c:symbol val="circle"/>
              <c:size val="8"/>
              <c:spPr>
                <a:noFill/>
                <a:ln w="9525" cap="flat">
                  <a:solidFill>
                    <a:schemeClr val="tx1"/>
                  </a:solidFill>
                </a:ln>
                <a:effectLst/>
              </c:spPr>
            </c:marker>
            <c:bubble3D val="0"/>
            <c:extLst xmlns:c15="http://schemas.microsoft.com/office/drawing/2012/chart">
              <c:ext xmlns:c16="http://schemas.microsoft.com/office/drawing/2014/chart" uri="{C3380CC4-5D6E-409C-BE32-E72D297353CC}">
                <c16:uniqueId val="{00000004-9A5E-4CED-9140-2B102BA329A5}"/>
              </c:ext>
            </c:extLst>
          </c:dPt>
          <c:dPt>
            <c:idx val="5"/>
            <c:marker>
              <c:symbol val="circle"/>
              <c:size val="12"/>
              <c:spPr>
                <a:noFill/>
                <a:ln w="9525">
                  <a:solidFill>
                    <a:schemeClr val="tx1">
                      <a:alpha val="99000"/>
                    </a:schemeClr>
                  </a:solidFill>
                </a:ln>
                <a:effectLst/>
              </c:spPr>
            </c:marker>
            <c:bubble3D val="0"/>
            <c:extLst xmlns:c15="http://schemas.microsoft.com/office/drawing/2012/chart">
              <c:ext xmlns:c16="http://schemas.microsoft.com/office/drawing/2014/chart" uri="{C3380CC4-5D6E-409C-BE32-E72D297353CC}">
                <c16:uniqueId val="{00000001-82BA-47D5-99EF-6A10962597CB}"/>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errBars>
            <c:errDir val="y"/>
            <c:errBarType val="minus"/>
            <c:errValType val="percentage"/>
            <c:noEndCap val="1"/>
            <c:val val="100"/>
            <c:spPr>
              <a:noFill/>
              <a:ln w="19050" cap="flat" cmpd="sng" algn="ctr">
                <a:solidFill>
                  <a:schemeClr val="tx1">
                    <a:lumMod val="65000"/>
                    <a:lumOff val="35000"/>
                  </a:schemeClr>
                </a:solidFill>
                <a:round/>
              </a:ln>
              <a:effectLst/>
            </c:spPr>
          </c:errBars>
          <c:yVal>
            <c:numRef>
              <c:f>[0]!forecast_minpoint</c:f>
              <c:numCache>
                <c:formatCode>_("$"* #,##0.00_);_("$"* \(#,##0.00\);_("$"* "-"_);_(@_)</c:formatCode>
                <c:ptCount val="57"/>
                <c:pt idx="0">
                  <c:v>#N/A</c:v>
                </c:pt>
                <c:pt idx="1">
                  <c:v>#N/A</c:v>
                </c:pt>
                <c:pt idx="2">
                  <c:v>#N/A</c:v>
                </c:pt>
                <c:pt idx="3">
                  <c:v>#N/A</c:v>
                </c:pt>
                <c:pt idx="4">
                  <c:v>#N/A</c:v>
                </c:pt>
                <c:pt idx="5">
                  <c:v>1668</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9A5E-4CED-9140-2B102BA329A5}"/>
            </c:ext>
          </c:extLst>
        </c:ser>
        <c:dLbls>
          <c:showLegendKey val="0"/>
          <c:showVal val="0"/>
          <c:showCatName val="0"/>
          <c:showSerName val="0"/>
          <c:showPercent val="0"/>
          <c:showBubbleSize val="0"/>
        </c:dLbls>
        <c:axId val="1304863520"/>
        <c:axId val="1304868440"/>
        <c:extLst/>
      </c:scatterChart>
      <c:scatterChart>
        <c:scatterStyle val="lineMarker"/>
        <c:varyColors val="0"/>
        <c:ser>
          <c:idx val="3"/>
          <c:order val="2"/>
          <c:tx>
            <c:v>x_months</c:v>
          </c:tx>
          <c:spPr>
            <a:ln w="25400" cap="rnd">
              <a:noFill/>
              <a:round/>
            </a:ln>
            <a:effectLst/>
          </c:spPr>
          <c:marker>
            <c:symbol val="circle"/>
            <c:size val="2"/>
            <c:spPr>
              <a:noFill/>
              <a:ln w="9525">
                <a:noFill/>
              </a:ln>
              <a:effectLst/>
            </c:spPr>
          </c:marker>
          <c:errBars>
            <c:errDir val="x"/>
            <c:errBarType val="both"/>
            <c:errValType val="percentage"/>
            <c:noEndCap val="1"/>
            <c:val val="0"/>
            <c:spPr>
              <a:noFill/>
              <a:ln w="9525" cap="flat" cmpd="sng" algn="ctr">
                <a:solidFill>
                  <a:schemeClr val="tx1">
                    <a:lumMod val="65000"/>
                    <a:lumOff val="35000"/>
                  </a:schemeClr>
                </a:solidFill>
                <a:round/>
              </a:ln>
              <a:effectLst/>
            </c:spPr>
          </c:errBars>
          <c:errBars>
            <c:errDir val="y"/>
            <c:errBarType val="minus"/>
            <c:errValType val="percentage"/>
            <c:noEndCap val="1"/>
            <c:val val="100"/>
            <c:spPr>
              <a:noFill/>
              <a:ln w="6350" cap="flat" cmpd="sng" algn="ctr">
                <a:solidFill>
                  <a:schemeClr val="bg1">
                    <a:lumMod val="85000"/>
                  </a:schemeClr>
                </a:solidFill>
                <a:prstDash val="lgDash"/>
                <a:miter lim="800000"/>
                <a:headEnd w="sm" len="sm"/>
                <a:tailEnd w="sm" len="sm"/>
              </a:ln>
              <a:effectLst/>
            </c:spPr>
          </c:errBars>
          <c:yVal>
            <c:numRef>
              <c:f>[0]!forecast_monday_x</c:f>
              <c:numCache>
                <c:formatCode>General</c:formatCode>
                <c:ptCount val="57"/>
                <c:pt idx="0">
                  <c:v>0</c:v>
                </c:pt>
                <c:pt idx="1">
                  <c:v>999999999</c:v>
                </c:pt>
                <c:pt idx="2">
                  <c:v>0</c:v>
                </c:pt>
                <c:pt idx="3">
                  <c:v>0</c:v>
                </c:pt>
                <c:pt idx="4">
                  <c:v>0</c:v>
                </c:pt>
                <c:pt idx="5">
                  <c:v>0</c:v>
                </c:pt>
                <c:pt idx="6">
                  <c:v>0</c:v>
                </c:pt>
                <c:pt idx="7">
                  <c:v>0</c:v>
                </c:pt>
                <c:pt idx="8">
                  <c:v>999999999</c:v>
                </c:pt>
                <c:pt idx="9">
                  <c:v>0</c:v>
                </c:pt>
                <c:pt idx="10">
                  <c:v>0</c:v>
                </c:pt>
                <c:pt idx="11">
                  <c:v>0</c:v>
                </c:pt>
                <c:pt idx="12">
                  <c:v>0</c:v>
                </c:pt>
                <c:pt idx="13">
                  <c:v>0</c:v>
                </c:pt>
                <c:pt idx="14">
                  <c:v>0</c:v>
                </c:pt>
                <c:pt idx="15">
                  <c:v>999999999</c:v>
                </c:pt>
                <c:pt idx="16">
                  <c:v>0</c:v>
                </c:pt>
                <c:pt idx="17">
                  <c:v>0</c:v>
                </c:pt>
                <c:pt idx="18">
                  <c:v>0</c:v>
                </c:pt>
                <c:pt idx="19">
                  <c:v>0</c:v>
                </c:pt>
                <c:pt idx="20">
                  <c:v>0</c:v>
                </c:pt>
                <c:pt idx="21">
                  <c:v>0</c:v>
                </c:pt>
                <c:pt idx="22">
                  <c:v>999999999</c:v>
                </c:pt>
                <c:pt idx="23">
                  <c:v>0</c:v>
                </c:pt>
                <c:pt idx="24">
                  <c:v>0</c:v>
                </c:pt>
                <c:pt idx="25">
                  <c:v>0</c:v>
                </c:pt>
                <c:pt idx="26">
                  <c:v>0</c:v>
                </c:pt>
                <c:pt idx="27">
                  <c:v>0</c:v>
                </c:pt>
                <c:pt idx="28">
                  <c:v>0</c:v>
                </c:pt>
                <c:pt idx="29">
                  <c:v>999999999</c:v>
                </c:pt>
                <c:pt idx="30">
                  <c:v>0</c:v>
                </c:pt>
                <c:pt idx="31">
                  <c:v>0</c:v>
                </c:pt>
                <c:pt idx="32">
                  <c:v>0</c:v>
                </c:pt>
                <c:pt idx="33">
                  <c:v>0</c:v>
                </c:pt>
                <c:pt idx="34">
                  <c:v>0</c:v>
                </c:pt>
                <c:pt idx="35">
                  <c:v>0</c:v>
                </c:pt>
                <c:pt idx="36">
                  <c:v>999999999</c:v>
                </c:pt>
                <c:pt idx="37">
                  <c:v>0</c:v>
                </c:pt>
                <c:pt idx="38">
                  <c:v>0</c:v>
                </c:pt>
                <c:pt idx="39">
                  <c:v>0</c:v>
                </c:pt>
                <c:pt idx="40">
                  <c:v>0</c:v>
                </c:pt>
                <c:pt idx="41">
                  <c:v>0</c:v>
                </c:pt>
                <c:pt idx="42">
                  <c:v>0</c:v>
                </c:pt>
                <c:pt idx="43">
                  <c:v>999999999</c:v>
                </c:pt>
                <c:pt idx="44">
                  <c:v>0</c:v>
                </c:pt>
                <c:pt idx="45">
                  <c:v>0</c:v>
                </c:pt>
                <c:pt idx="46">
                  <c:v>0</c:v>
                </c:pt>
                <c:pt idx="47">
                  <c:v>0</c:v>
                </c:pt>
                <c:pt idx="48">
                  <c:v>0</c:v>
                </c:pt>
                <c:pt idx="49">
                  <c:v>0</c:v>
                </c:pt>
                <c:pt idx="50">
                  <c:v>999999999</c:v>
                </c:pt>
                <c:pt idx="51">
                  <c:v>0</c:v>
                </c:pt>
                <c:pt idx="52">
                  <c:v>0</c:v>
                </c:pt>
                <c:pt idx="53">
                  <c:v>0</c:v>
                </c:pt>
                <c:pt idx="54">
                  <c:v>0</c:v>
                </c:pt>
                <c:pt idx="55">
                  <c:v>0</c:v>
                </c:pt>
                <c:pt idx="56">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4DE3-442C-AE35-AE736B3D6471}"/>
            </c:ext>
          </c:extLst>
        </c:ser>
        <c:dLbls>
          <c:showLegendKey val="0"/>
          <c:showVal val="0"/>
          <c:showCatName val="0"/>
          <c:showSerName val="0"/>
          <c:showPercent val="0"/>
          <c:showBubbleSize val="0"/>
        </c:dLbls>
        <c:axId val="505185400"/>
        <c:axId val="892964184"/>
        <c:extLst/>
      </c:scatterChart>
      <c:catAx>
        <c:axId val="1304863520"/>
        <c:scaling>
          <c:orientation val="minMax"/>
        </c:scaling>
        <c:delete val="0"/>
        <c:axPos val="b"/>
        <c:numFmt formatCode="d;@" sourceLinked="0"/>
        <c:majorTickMark val="none"/>
        <c:minorTickMark val="in"/>
        <c:tickLblPos val="low"/>
        <c:spPr>
          <a:noFill/>
          <a:ln w="6350" cap="flat" cmpd="sng" algn="ctr">
            <a:solidFill>
              <a:schemeClr val="tx1"/>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8440"/>
        <c:crosses val="autoZero"/>
        <c:auto val="1"/>
        <c:lblAlgn val="ctr"/>
        <c:lblOffset val="100"/>
        <c:tickMarkSkip val="1"/>
        <c:noMultiLvlLbl val="0"/>
      </c:catAx>
      <c:valAx>
        <c:axId val="1304868440"/>
        <c:scaling>
          <c:orientation val="minMax"/>
        </c:scaling>
        <c:delete val="0"/>
        <c:axPos val="l"/>
        <c:majorGridlines>
          <c:spPr>
            <a:ln w="9525" cap="flat" cmpd="sng" algn="ctr">
              <a:solidFill>
                <a:schemeClr val="bg1">
                  <a:lumMod val="75000"/>
                </a:schemeClr>
              </a:solidFill>
              <a:round/>
            </a:ln>
            <a:effectLst/>
          </c:spPr>
        </c:majorGridlines>
        <c:numFmt formatCode="_(#,\ \K;_(\-0,\ \K;_(&quot;$&quot;* &quot; -&quot;??;_(@_)" sourceLinked="0"/>
        <c:majorTickMark val="none"/>
        <c:minorTickMark val="none"/>
        <c:tickLblPos val="nextTo"/>
        <c:spPr>
          <a:noFill/>
          <a:ln>
            <a:solidFill>
              <a:schemeClr val="tx1">
                <a:lumMod val="65000"/>
                <a:lumOff val="35000"/>
              </a:schemeClr>
            </a:solidFill>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04863520"/>
        <c:crosses val="autoZero"/>
        <c:crossBetween val="midCat"/>
        <c:majorUnit val="2000"/>
        <c:minorUnit val="1000"/>
      </c:valAx>
      <c:valAx>
        <c:axId val="892964184"/>
        <c:scaling>
          <c:orientation val="minMax"/>
          <c:max val="1"/>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85400"/>
        <c:crosses val="max"/>
        <c:crossBetween val="midCat"/>
      </c:valAx>
      <c:valAx>
        <c:axId val="505185400"/>
        <c:scaling>
          <c:orientation val="minMax"/>
        </c:scaling>
        <c:delete val="1"/>
        <c:axPos val="t"/>
        <c:majorTickMark val="out"/>
        <c:minorTickMark val="none"/>
        <c:tickLblPos val="nextTo"/>
        <c:crossAx val="892964184"/>
        <c:crosses val="max"/>
        <c:crossBetween val="midCat"/>
      </c:valAx>
      <c:spPr>
        <a:solidFill>
          <a:schemeClr val="bg1"/>
        </a:solid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22412</xdr:colOff>
      <xdr:row>1</xdr:row>
      <xdr:rowOff>0</xdr:rowOff>
    </xdr:from>
    <xdr:to>
      <xdr:col>8</xdr:col>
      <xdr:colOff>0</xdr:colOff>
      <xdr:row>13</xdr:row>
      <xdr:rowOff>0</xdr:rowOff>
    </xdr:to>
    <xdr:graphicFrame macro="">
      <xdr:nvGraphicFramePr>
        <xdr:cNvPr id="6" name="Chart 1">
          <a:extLst>
            <a:ext uri="{FF2B5EF4-FFF2-40B4-BE49-F238E27FC236}">
              <a16:creationId xmlns:a16="http://schemas.microsoft.com/office/drawing/2014/main" id="{898BEFB0-CE1F-4B60-8366-583B43F7D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2</xdr:row>
      <xdr:rowOff>0</xdr:rowOff>
    </xdr:from>
    <xdr:to>
      <xdr:col>13</xdr:col>
      <xdr:colOff>67236</xdr:colOff>
      <xdr:row>14</xdr:row>
      <xdr:rowOff>0</xdr:rowOff>
    </xdr:to>
    <xdr:graphicFrame macro="">
      <xdr:nvGraphicFramePr>
        <xdr:cNvPr id="9" name="Chart 1">
          <a:extLst>
            <a:ext uri="{FF2B5EF4-FFF2-40B4-BE49-F238E27FC236}">
              <a16:creationId xmlns:a16="http://schemas.microsoft.com/office/drawing/2014/main" id="{0310289E-AF95-4A52-99DE-4AC67E09A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321469</xdr:colOff>
      <xdr:row>2</xdr:row>
      <xdr:rowOff>85726</xdr:rowOff>
    </xdr:from>
    <xdr:to>
      <xdr:col>9</xdr:col>
      <xdr:colOff>152400</xdr:colOff>
      <xdr:row>3</xdr:row>
      <xdr:rowOff>0</xdr:rowOff>
    </xdr:to>
    <xdr:cxnSp macro="">
      <xdr:nvCxnSpPr>
        <xdr:cNvPr id="2" name="Connector: Elbow 1">
          <a:extLst>
            <a:ext uri="{FF2B5EF4-FFF2-40B4-BE49-F238E27FC236}">
              <a16:creationId xmlns:a16="http://schemas.microsoft.com/office/drawing/2014/main" id="{8D471AE2-4956-4CD7-B1DC-2D0D1F6C222A}"/>
            </a:ext>
          </a:extLst>
        </xdr:cNvPr>
        <xdr:cNvCxnSpPr/>
      </xdr:nvCxnSpPr>
      <xdr:spPr>
        <a:xfrm flipV="1">
          <a:off x="2445544" y="466726"/>
          <a:ext cx="2345531" cy="114299"/>
        </a:xfrm>
        <a:prstGeom prst="bentConnector3">
          <a:avLst>
            <a:gd name="adj1" fmla="val 51"/>
          </a:avLst>
        </a:prstGeom>
        <a:ln w="31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91965</xdr:colOff>
      <xdr:row>8</xdr:row>
      <xdr:rowOff>98534</xdr:rowOff>
    </xdr:from>
    <xdr:to>
      <xdr:col>10</xdr:col>
      <xdr:colOff>0</xdr:colOff>
      <xdr:row>8</xdr:row>
      <xdr:rowOff>98534</xdr:rowOff>
    </xdr:to>
    <xdr:cxnSp macro="">
      <xdr:nvCxnSpPr>
        <xdr:cNvPr id="3" name="Straight Arrow Connector 2">
          <a:extLst>
            <a:ext uri="{FF2B5EF4-FFF2-40B4-BE49-F238E27FC236}">
              <a16:creationId xmlns:a16="http://schemas.microsoft.com/office/drawing/2014/main" id="{F0199560-419C-4E01-8E81-08D127C89948}"/>
            </a:ext>
          </a:extLst>
        </xdr:cNvPr>
        <xdr:cNvCxnSpPr/>
      </xdr:nvCxnSpPr>
      <xdr:spPr>
        <a:xfrm>
          <a:off x="4730640" y="1660634"/>
          <a:ext cx="10806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85397</xdr:colOff>
      <xdr:row>17</xdr:row>
      <xdr:rowOff>111673</xdr:rowOff>
    </xdr:from>
    <xdr:to>
      <xdr:col>9</xdr:col>
      <xdr:colOff>190501</xdr:colOff>
      <xdr:row>17</xdr:row>
      <xdr:rowOff>111673</xdr:rowOff>
    </xdr:to>
    <xdr:cxnSp macro="">
      <xdr:nvCxnSpPr>
        <xdr:cNvPr id="4" name="Straight Arrow Connector 3">
          <a:extLst>
            <a:ext uri="{FF2B5EF4-FFF2-40B4-BE49-F238E27FC236}">
              <a16:creationId xmlns:a16="http://schemas.microsoft.com/office/drawing/2014/main" id="{6253A504-CA80-4C91-88F3-391AF2CE5AAB}"/>
            </a:ext>
          </a:extLst>
        </xdr:cNvPr>
        <xdr:cNvCxnSpPr/>
      </xdr:nvCxnSpPr>
      <xdr:spPr>
        <a:xfrm>
          <a:off x="4724072" y="3388273"/>
          <a:ext cx="105104"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93280</xdr:colOff>
      <xdr:row>20</xdr:row>
      <xdr:rowOff>112987</xdr:rowOff>
    </xdr:from>
    <xdr:to>
      <xdr:col>10</xdr:col>
      <xdr:colOff>1315</xdr:colOff>
      <xdr:row>20</xdr:row>
      <xdr:rowOff>112987</xdr:rowOff>
    </xdr:to>
    <xdr:cxnSp macro="">
      <xdr:nvCxnSpPr>
        <xdr:cNvPr id="5" name="Straight Arrow Connector 4">
          <a:extLst>
            <a:ext uri="{FF2B5EF4-FFF2-40B4-BE49-F238E27FC236}">
              <a16:creationId xmlns:a16="http://schemas.microsoft.com/office/drawing/2014/main" id="{892D6AF9-B465-4A00-AA41-3143B71F5760}"/>
            </a:ext>
          </a:extLst>
        </xdr:cNvPr>
        <xdr:cNvCxnSpPr/>
      </xdr:nvCxnSpPr>
      <xdr:spPr>
        <a:xfrm>
          <a:off x="4731955" y="3961087"/>
          <a:ext cx="10806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85396</xdr:colOff>
      <xdr:row>3</xdr:row>
      <xdr:rowOff>107156</xdr:rowOff>
    </xdr:from>
    <xdr:to>
      <xdr:col>9</xdr:col>
      <xdr:colOff>88106</xdr:colOff>
      <xdr:row>20</xdr:row>
      <xdr:rowOff>111672</xdr:rowOff>
    </xdr:to>
    <xdr:cxnSp macro="">
      <xdr:nvCxnSpPr>
        <xdr:cNvPr id="6" name="Straight Connector 5">
          <a:extLst>
            <a:ext uri="{FF2B5EF4-FFF2-40B4-BE49-F238E27FC236}">
              <a16:creationId xmlns:a16="http://schemas.microsoft.com/office/drawing/2014/main" id="{8E04B550-D31B-4D77-BFF3-854495E9092A}"/>
            </a:ext>
          </a:extLst>
        </xdr:cNvPr>
        <xdr:cNvCxnSpPr/>
      </xdr:nvCxnSpPr>
      <xdr:spPr>
        <a:xfrm flipV="1">
          <a:off x="4724071" y="688181"/>
          <a:ext cx="2710" cy="3271591"/>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xdr:colOff>
      <xdr:row>3</xdr:row>
      <xdr:rowOff>105104</xdr:rowOff>
    </xdr:from>
    <xdr:to>
      <xdr:col>9</xdr:col>
      <xdr:colOff>90101</xdr:colOff>
      <xdr:row>3</xdr:row>
      <xdr:rowOff>105548</xdr:rowOff>
    </xdr:to>
    <xdr:cxnSp macro="">
      <xdr:nvCxnSpPr>
        <xdr:cNvPr id="7" name="Straight Connector 6">
          <a:extLst>
            <a:ext uri="{FF2B5EF4-FFF2-40B4-BE49-F238E27FC236}">
              <a16:creationId xmlns:a16="http://schemas.microsoft.com/office/drawing/2014/main" id="{FAE8C7D8-6CBC-4C9F-9DD6-D9CD738832FA}"/>
            </a:ext>
          </a:extLst>
        </xdr:cNvPr>
        <xdr:cNvCxnSpPr/>
      </xdr:nvCxnSpPr>
      <xdr:spPr>
        <a:xfrm flipH="1" flipV="1">
          <a:off x="4638677" y="686129"/>
          <a:ext cx="90099" cy="444"/>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47C40EE-B8B9-4937-A1BE-50094A15DFDB}" name="Table523" displayName="Table523" ref="B28:G40" totalsRowCount="1" headerRowDxfId="167" dataDxfId="166" totalsRowDxfId="165">
  <autoFilter ref="B28:G39" xr:uid="{6C835408-9FA3-4036-8978-9505D3D8204E}">
    <filterColumn colId="0" hiddenButton="1"/>
    <filterColumn colId="1" hiddenButton="1"/>
    <filterColumn colId="2" hiddenButton="1"/>
    <filterColumn colId="3" hiddenButton="1"/>
    <filterColumn colId="4" hiddenButton="1"/>
    <filterColumn colId="5" hiddenButton="1"/>
  </autoFilter>
  <tableColumns count="6">
    <tableColumn id="1" xr3:uid="{A3472C5A-2EAE-4D36-867E-F215332004CC}" name="Credit Cards" totalsRowLabel="Totals" dataDxfId="164" totalsRowDxfId="163" dataCellStyle="Hyperlink">
      <calculatedColumnFormula>Dashboard!F18</calculatedColumnFormula>
    </tableColumn>
    <tableColumn id="2" xr3:uid="{817E98DC-D4AD-48BC-A0F3-9CF3CD00E0E5}" name="Available" totalsRowFunction="sum" dataDxfId="162" totalsRowDxfId="161" dataCellStyle="Comma"/>
    <tableColumn id="4" xr3:uid="{4119ACE6-719C-4CD7-8EFE-88EEF853D074}" name="Balance" totalsRowFunction="sum" dataDxfId="160" totalsRowDxfId="159" dataCellStyle="Comma">
      <calculatedColumnFormula>Dashboard!J18</calculatedColumnFormula>
    </tableColumn>
    <tableColumn id="3" xr3:uid="{FBB589CE-CF5D-4A41-9496-EAC9ED669CD2}" name="Interest" totalsRowFunction="sum" dataDxfId="158" totalsRowDxfId="157" dataCellStyle="Comma">
      <calculatedColumnFormula>Dashboard!K18</calculatedColumnFormula>
    </tableColumn>
    <tableColumn id="5" xr3:uid="{26F1868C-DA53-4155-BCD5-E6D03D8235DE}" name="% owed" dataDxfId="156" totalsRowDxfId="155" dataCellStyle="Percent">
      <calculatedColumnFormula>Dashboard!L18</calculatedColumnFormula>
    </tableColumn>
    <tableColumn id="6" xr3:uid="{47480579-2EE9-4396-84D4-212BAAE65DA0}" name="Column1" dataDxfId="154" totalsRowDxfId="153">
      <calculatedColumnFormula>NOT(AND(ISTEXT(Table523[[#This Row],[Credit Cards]]), Table523[[#This Row],[Balance]]&gt;0))</calculatedColumnFormula>
    </tableColumn>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4B04C18-4CFE-41FF-B86E-6C7F5FA248A6}" name="bills_curr_plus2" displayName="bills_curr_plus2" ref="G1:H51" totalsRowShown="0" headerRowDxfId="89" dataDxfId="88">
  <autoFilter ref="G1:H51" xr:uid="{7370AAE7-265C-4246-B31E-4D23F394571E}">
    <filterColumn colId="0" hiddenButton="1"/>
    <filterColumn colId="1" hiddenButton="1"/>
  </autoFilter>
  <tableColumns count="2">
    <tableColumn id="1" xr3:uid="{AE2805FD-CC5B-4AC8-AB7F-E3FF1718BC8C}" name="dates" dataDxfId="55">
      <calculatedColumnFormula>IF(ISNUMBER(bills_curr_plus2[[#This Row],[bills]]), IF(OR(MONTH($D$2)=12, YEAR($D$2)=YEAR(TODAY())+1), IFERROR(MONTH($D$2+32)&amp;"/"&amp;INDEX(Bills1[Date &lt;d&gt;], ROWS($B$1:$B1))&amp;"/"&amp;$C$51, IFERROR(MONTH($D$2+32)&amp;"/"&amp;INDEX(DAY(Bills2[Date &lt;d&gt;]), (ROWS($B$1:$B1)-ROWS(Bills1[Date &lt;d&gt;])))&amp;"/"&amp;$C$51, "")), IFERROR(MONTH($D$2+32)&amp;"/"&amp;INDEX(Bills1[Date &lt;d&gt;], ROWS($B$1:$B1)), IFERROR(MONTH($D$2+32)&amp;"/"&amp;INDEX(DAY(Bills2[Date &lt;d&gt;]), (ROWS($B$1:$B1)-ROWS(Bills1[Date &lt;d&gt;]))), ""))), "")</calculatedColumnFormula>
    </tableColumn>
    <tableColumn id="3" xr3:uid="{EB22E618-9D58-475A-9483-A1BDB138248E}" name="bills" dataDxfId="54"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A55E860-2E39-4E89-A884-4EE38C5C7B4A}" name="bills_curr_plus3" displayName="bills_curr_plus3" ref="J1:K51" totalsRowShown="0" headerRowDxfId="87" dataDxfId="86">
  <autoFilter ref="J1:K51" xr:uid="{A943B49B-AA13-4B29-97E9-A60493FD68BE}">
    <filterColumn colId="0" hiddenButton="1"/>
    <filterColumn colId="1" hiddenButton="1"/>
  </autoFilter>
  <tableColumns count="2">
    <tableColumn id="1" xr3:uid="{8C7F9674-45ED-45DA-AD07-C003B050EBBD}" name="dates" dataDxfId="53">
      <calculatedColumnFormula>IF(ISNUMBER(bills_curr_plus3[[#This Row],[bills]]), IF(OR(MONTH($G$2)=12, YEAR($G$2)=YEAR(TODAY())+1), IFERROR(MONTH($G$2+32)&amp;"/"&amp;INDEX(Bills1[Date &lt;d&gt;], ROWS($B$1:$B1))&amp;"/"&amp;$C$51, IFERROR(MONTH($G$2+32)&amp;"/"&amp;INDEX(DAY(Bills2[Date &lt;d&gt;]), (ROWS($B$1:$B1)-ROWS(Bills1[Date &lt;d&gt;])))&amp;"/"&amp;$C$51, "")), IFERROR(MONTH($G$2+32)&amp;"/"&amp;INDEX(Bills1[Date &lt;d&gt;], ROWS($B$1:$B1)), IFERROR(MONTH($G$2+32)&amp;"/"&amp;INDEX(DAY(Bills2[Date &lt;d&gt;]), (ROWS($B$1:$B1)-ROWS(Bills1[Date &lt;d&gt;]))), ""))), "")</calculatedColumnFormula>
    </tableColumn>
    <tableColumn id="3" xr3:uid="{9CF216D2-94AA-4E6D-A8B4-59F788389A77}" name="bills" dataDxfId="52"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96ED613-E234-45AF-ACA4-781035E9A28A}" name="bills_curr_plus4" displayName="bills_curr_plus4" ref="M1:N51" totalsRowShown="0" headerRowDxfId="85" dataDxfId="84">
  <autoFilter ref="M1:N51" xr:uid="{4A0BCF62-42FE-4682-A6A6-4907E83D929E}">
    <filterColumn colId="0" hiddenButton="1"/>
    <filterColumn colId="1" hiddenButton="1"/>
  </autoFilter>
  <tableColumns count="2">
    <tableColumn id="1" xr3:uid="{F8AFB362-6AC8-4FF1-933B-58831A98E04C}" name="dates" dataDxfId="51">
      <calculatedColumnFormula>IF(ISNUMBER(bills_curr_plus4[[#This Row],[bills]]), IF(OR(MONTH($J$2)=12, YEAR($J$2)=YEAR(TODAY())+1), IFERROR(MONTH($J$2+32)&amp;"/"&amp;INDEX(Bills1[Date &lt;d&gt;], ROWS($B$1:$B1))&amp;"/"&amp;$C$51, IFERROR(MONTH($J$2+32)&amp;"/"&amp;INDEX(DAY(Bills2[Date &lt;d&gt;]), (ROWS($B$1:$B1)-ROWS(Bills1[Date &lt;d&gt;])))&amp;"/"&amp;$C$51, "")), IFERROR(MONTH($J$2+32)&amp;"/"&amp;INDEX(Bills1[Date &lt;d&gt;], ROWS($B$1:$B1)), IFERROR(MONTH($J$2+32)&amp;"/"&amp;INDEX(DAY(Bills2[Date &lt;d&gt;]), (ROWS($B$1:$B1)-ROWS(Bills1[Date &lt;d&gt;]))), ""))), "")</calculatedColumnFormula>
    </tableColumn>
    <tableColumn id="3" xr3:uid="{217F0491-E7A5-418B-98FA-3A0E966DFCF7}" name="bills" dataDxfId="50"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013D31D-550C-4D58-9CC2-47F05D6546BA}" name="bills_curr_plus5" displayName="bills_curr_plus5" ref="P1:Q51" totalsRowShown="0" headerRowDxfId="83" dataDxfId="82">
  <autoFilter ref="P1:Q51" xr:uid="{5CB1BFBF-18A5-4D97-A6D3-03834DAC26DB}">
    <filterColumn colId="0" hiddenButton="1"/>
    <filterColumn colId="1" hiddenButton="1"/>
  </autoFilter>
  <tableColumns count="2">
    <tableColumn id="1" xr3:uid="{6A6C5381-3381-4013-8EB8-54562D7D03C7}" name="dates" dataDxfId="49">
      <calculatedColumnFormula>IF(ISNUMBER(bills_curr_plus5[[#This Row],[bills]]), IF(OR(MONTH($M$2)=12, YEAR($M$2)=YEAR(TODAY())+1), IFERROR(MONTH($M$2+32)&amp;"/"&amp;INDEX(Bills1[Date &lt;d&gt;], ROWS($B$1:$B1))&amp;"/"&amp;$C$51, IFERROR(MONTH($M$2+32)&amp;"/"&amp;INDEX(DAY(Bills2[Date &lt;d&gt;]), (ROWS($B$1:$B1)-ROWS(Bills1[Date &lt;d&gt;])))&amp;"/"&amp;$C$51, "")), IFERROR(MONTH($M$2+32)&amp;"/"&amp;INDEX(Bills1[Date &lt;d&gt;], ROWS($B$1:$B1)), IFERROR(MONTH($M$2+32)&amp;"/"&amp;INDEX(DAY(Bills2[Date &lt;d&gt;]), (ROWS($B$1:$B1)-ROWS(Bills1[Date &lt;d&gt;]))), ""))), "")</calculatedColumnFormula>
    </tableColumn>
    <tableColumn id="3" xr3:uid="{4F897ADB-0D6F-48C3-A4D1-5EA2A281A54F}" name="bills" dataDxfId="48"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8E5677-A57A-42F1-9083-F336E036D28A}" name="income_future" displayName="income_future" ref="V1:X184" totalsRowShown="0" headerRowDxfId="81" dataDxfId="79" headerRowBorderDxfId="80" tableBorderDxfId="78">
  <autoFilter ref="V1:X184" xr:uid="{D08FB7AF-D0EC-422B-AD4C-3D1A1D42D4C7}">
    <filterColumn colId="0" hiddenButton="1"/>
    <filterColumn colId="1" hiddenButton="1"/>
    <filterColumn colId="2" hiddenButton="1"/>
  </autoFilter>
  <tableColumns count="3">
    <tableColumn id="1" xr3:uid="{216D65B0-BECD-40A6-B1F5-8F359546BEEC}" name="dates" dataDxfId="47">
      <calculatedColumnFormula>IF(MONTH('Data Preparation'!#REF!-42)=MONTH(TODAY()),'Data Preparation'!#REF!-42,IF(MONTH('Data Preparation'!#REF!-28)=MONTH(TODAY()),'Data Preparation'!#REF!-28,IF(MONTH('Data Preparation'!#REF!-14)=MONTH(TODAY()),'Data Preparation'!#REF!-14,'Data Preparation'!#REF!)))</calculatedColumnFormula>
    </tableColumn>
    <tableColumn id="2" xr3:uid="{D95EAF8F-B8A0-44FA-92F7-20A92C1DC774}" name="as day" dataDxfId="46">
      <calculatedColumnFormula>DAY(income_future[[#This Row],[dates]])</calculatedColumnFormula>
    </tableColumn>
    <tableColumn id="3" xr3:uid="{EDDE0925-F224-4063-9E02-73DBB443564B}" name="income" dataDxfId="45" dataCellStyle="Currency">
      <calculatedColumnFormula>SUMIF(income_curr[mod( )], MOD(V2, 14), income_curr[income])</calculatedColumnFormula>
    </tableColumn>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E6C4176-9A66-44F1-B611-7B3E8A034277}" name="bills_curr_plus6" displayName="bills_curr_plus6" ref="S1:T51" totalsRowShown="0" headerRowDxfId="77" dataDxfId="76">
  <autoFilter ref="S1:T51" xr:uid="{662CA8B6-94DF-41B9-B32D-39A152B045AE}">
    <filterColumn colId="0" hiddenButton="1"/>
    <filterColumn colId="1" hiddenButton="1"/>
  </autoFilter>
  <tableColumns count="2">
    <tableColumn id="1" xr3:uid="{C32CEC35-78EB-4691-8BDB-ACF8B61A3FA8}" name="dates" dataDxfId="44">
      <calculatedColumnFormula>IF(ISNUMBER(bills_curr_plus6[[#This Row],[bills]]),
IF(OR(MONTH($P$2)=12, YEAR($P$2)=YEAR(TODAY())+1),
IFERROR(MONTH($P$2+32)&amp;"/"&amp;INDEX(Bills1[Date &lt;d&gt;], ROWS($B$1:$B1))&amp;"/"&amp;$C$51,
IFERROR(MONTH($P$2+32)&amp;"/"&amp;INDEX(DAY(Bills2[Date &lt;d&gt;]), (ROWS($B$1:$B1)-ROWS(Bills1[Date &lt;d&gt;])))&amp;"/"&amp;$C$51, "")),
IFERROR(MONTH($P$2+32)&amp;"/"&amp;INDEX(Bills1[Date &lt;d&gt;], ROWS($B$1:$B1)),
IFERROR(MONTH($P$2+32)&amp;"/"&amp;INDEX(DAY(Bills2[Date &lt;d&gt;]), (ROWS($B$1:$B1)-ROWS(Bills1[Date &lt;d&gt;]))), ""))), "")</calculatedColumnFormula>
    </tableColumn>
    <tableColumn id="3" xr3:uid="{AA8E2D2F-2BEB-4C31-AACA-3D5D9F55F330}" name="bills" dataDxfId="43" dataCellStyle="Currency">
      <calculatedColumnFormula>IF(IFERROR(INDEX(Bills1[Amount],ROWS($B$1:$B1)),
IFERROR(INDEX(Bills2[Amount],(ROWS($B$1:$B1)-ROWS(Bills1[Amount]))),))&gt;0,
-IFERROR(INDEX(Bills1[Amount],ROWS($B$1:$B1)),
IFERROR(INDEX(Bills2[Amount],(ROWS($B$1:$B1)-ROWS(Bills1[Amount]))),)), "")</calculatedColumnFormula>
    </tableColumn>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DA0A6CD-0137-435F-B33D-AB74B2CF43D3}" name="income_curr" displayName="income_curr" ref="AX1:AZ9" totalsRowShown="0" headerRowDxfId="75" dataDxfId="74">
  <autoFilter ref="AX1:AZ9" xr:uid="{8AB10B74-B746-424C-8E6E-B9A717B5DE8C}">
    <filterColumn colId="0" hiddenButton="1"/>
    <filterColumn colId="1" hiddenButton="1"/>
    <filterColumn colId="2" hiddenButton="1"/>
  </autoFilter>
  <tableColumns count="3">
    <tableColumn id="1" xr3:uid="{36DAB917-F499-42A0-B2CF-2A608A227498}" name="dates" dataDxfId="42">
      <calculatedColumnFormula>IF(ISNUMBER(income_curr[[#This Row],[income]]),
IFERROR(DATEVALUE(MONTH(TODAY())&amp;"/"&amp;INDEX(DAY(Income1[On Date]), ROWS(AY$2:$AY2))),
IFERROR(DATEVALUE(MONTH(TODAY())&amp;"/"&amp;INDEX(DAY(Income2[On Date]), ROWS(AY$2:$AY2)-ROWS(DAY(Income2[On Date])))),
IFERROR(DATEVALUE(MONTH(TODAY())&amp;"/"&amp;INDEX(DAY(Income3[On Date]), ROWS(AY$2:$AY2)-ROWS(DAY(Income2[On Date]))-ROWS(DAY(Income3[On Date])))), ))), )</calculatedColumnFormula>
    </tableColumn>
    <tableColumn id="2" xr3:uid="{91C584DB-4B5A-4B24-8A32-B8537ADA59AE}" name="mod( )" dataDxfId="41">
      <calculatedColumnFormula>MOD(income_curr[[#This Row],[dates]], 14)</calculatedColumnFormula>
    </tableColumn>
    <tableColumn id="3" xr3:uid="{93FF2AED-0238-4379-98FA-5229584B0251}" name="income" dataDxfId="40">
      <calculatedColumnFormula>IF(IFERROR(INDEX(Income1[Amount],ROWS($AY$1:$AY1)),
IFERROR(INDEX(Income2[Amount],(ROWS($AY$1:$AY1)-ROWS(Income1[Amount]))),
IFERROR(INDEX(Income3[Amount],(ROWS($AY$1:$AY1)-ROWS(Income1[Amount])-ROWS(Income2[Amount]))),)))&gt;0,
IFERROR(INDEX(Income1[Amount],ROWS($AY$1:$AY1)),
IFERROR(INDEX(Income2[Amount],(ROWS($AY$1:$AY1)-ROWS(Income1[Amount]))),
IFERROR(INDEX(Income3[Amount],(ROWS($AY$1:$AY1)-ROWS(Income1[Amount])-ROWS(Income2[Amount]))),))), "")</calculatedColumnFormula>
    </tableColumn>
  </tableColumns>
  <tableStyleInfo name="Custom sty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39D26D-4B39-45FB-B0CC-7EBC374F4514}" name="Income3" displayName="Income3" ref="AS1:AV9" totalsRowShown="0" headerRowDxfId="73" dataDxfId="72">
  <tableColumns count="4">
    <tableColumn id="1" xr3:uid="{5D4CF2F6-7B0A-49BB-A3F7-3D770D969908}" name="3rd checks" dataDxfId="39">
      <calculatedColumnFormula>IF(ISTEXT(Income1[[#This Row],[Income]]), IF(Income3[[#This Row],[On Date]]&lt;&gt;"", Income1[[#This Row],[Income]], ), )</calculatedColumnFormula>
    </tableColumn>
    <tableColumn id="2" xr3:uid="{1420D517-EAC1-41C0-B1C6-C91179C59B4E}" name="On Date" dataDxfId="38">
      <calculatedColumnFormula>IF(ISNUMBER(Income1[[#This Row],[On Date]]), IF(MONTH($AJ2+28)=MONTH($AJ2+14), $AJ2+28, ""), "")</calculatedColumnFormula>
    </tableColumn>
    <tableColumn id="3" xr3:uid="{5D5AD8F1-F13C-479E-B8D6-3C46983B2BAE}" name="Received?" dataDxfId="37">
      <calculatedColumnFormula>IF(ISTEXT(Income3[[#This Row],[3rd checks]]), IF(TODAY()&gt;Income3[[#This Row],[On Date]]-1, "Y", ), )</calculatedColumnFormula>
    </tableColumn>
    <tableColumn id="5" xr3:uid="{7F193FA6-BFDE-4CBC-90BE-9FACAC9C5EE0}" name="Amount" dataDxfId="36">
      <calculatedColumnFormula>IF(ISTEXT(Income3[[#This Row],[3rd checks]]), Income1[[#This Row],[Amount]], )</calculatedColumnFormula>
    </tableColumn>
  </tableColumns>
  <tableStyleInfo name="Custom sty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0A967A-9F2B-4A8B-9BFF-125A6A2A56DF}" name="Income2" displayName="Income2" ref="AN1:AQ9" totalsRowShown="0" headerRowDxfId="71" dataDxfId="70">
  <tableColumns count="4">
    <tableColumn id="1" xr3:uid="{E3FEEB49-E744-49AE-A058-CFC2D33FED06}" name="Income" dataDxfId="35">
      <calculatedColumnFormula>Income1[[#This Row],[Income]]</calculatedColumnFormula>
    </tableColumn>
    <tableColumn id="2" xr3:uid="{6DB5117D-DE26-4791-93C2-8F37AE42FC7A}" name="On Date" dataDxfId="34">
      <calculatedColumnFormula>IF(ISNUMBER(Income1[[#This Row],[On Date]]), Income1[[#This Row],[On Date]]+14, "")</calculatedColumnFormula>
    </tableColumn>
    <tableColumn id="3" xr3:uid="{826C7390-B56C-4F2C-BB7A-4BE8541A8032}" name="Received?" dataDxfId="33">
      <calculatedColumnFormula>IF(ISTEXT(Income2[[#This Row],[Income]]), IF(TODAY()&gt;Income2[[#This Row],[On Date]]-1, "Y", ), )</calculatedColumnFormula>
    </tableColumn>
    <tableColumn id="5" xr3:uid="{E967DDCB-44EB-41BF-8882-F5829A08270F}" name="Amount" dataDxfId="32">
      <calculatedColumnFormula>Income1[[#This Row],[Amount]]</calculatedColumnFormula>
    </tableColumn>
  </tableColumns>
  <tableStyleInfo name="Custom sty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7482910-0F5B-4C6E-8E7A-F9359148A0B0}" name="Income1" displayName="Income1" ref="AI1:AL9" totalsRowShown="0" headerRowDxfId="69" dataDxfId="68">
  <tableColumns count="4">
    <tableColumn id="1" xr3:uid="{61ACC69E-6BD6-48FB-8C4C-033DE7630A5E}" name="Income" dataDxfId="31">
      <calculatedColumnFormula>IF(ISTEXT('Forms; Income &amp; Bills'!$E2), 'Forms; Income &amp; Bills'!$E2, )</calculatedColumnFormula>
    </tableColumn>
    <tableColumn id="2" xr3:uid="{98A59AC7-5CFB-4EB0-A124-75A63A28F185}" name="On Date" dataDxfId="30">
      <calculatedColumnFormula>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calculatedColumnFormula>
    </tableColumn>
    <tableColumn id="3" xr3:uid="{CAF8AFB8-1027-4F90-8BDE-E364CD41BF15}" name="Received?" dataDxfId="29">
      <calculatedColumnFormula>IF(ISTEXT(Income1[[#This Row],[Income]]), IF(TODAY()&gt;Income1[[#This Row],[On Date]]-1, "Y", ), )</calculatedColumnFormula>
    </tableColumn>
    <tableColumn id="5" xr3:uid="{FF9735D2-93CF-4B15-87B6-48B2B0E6BA91}" name="Amount" dataDxfId="28" dataCellStyle="Currency">
      <calculatedColumnFormula>'Forms; Income &amp; Bills'!G2</calculatedColumnFormula>
    </tableColumn>
  </tableColumns>
  <tableStyleInfo name="Custom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607DBA-ACC3-42D5-B6E7-21D655483290}" name="Table5" displayName="Table5" ref="F17:M30" totalsRowCount="1" headerRowDxfId="152" dataDxfId="151" totalsRowDxfId="150">
  <autoFilter ref="F17:M29" xr:uid="{6C835408-9FA3-4036-8978-9505D3D8204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5A59A987-6ACB-4635-8FBD-7B425899684B}" name="Credit Cards" totalsRowLabel="Totals" dataDxfId="149" totalsRowDxfId="148"/>
    <tableColumn id="2" xr3:uid="{9CDADC68-2131-4CF9-8353-747A7C7D20D5}" name="APR" dataDxfId="147" totalsRowDxfId="146" dataCellStyle="Percent"/>
    <tableColumn id="3" xr3:uid="{54E3F98C-48E4-43C2-96CB-A6CF26BA0D59}" name="Credit Limit" totalsRowFunction="sum" dataDxfId="145" totalsRowDxfId="144" dataCellStyle="Currency"/>
    <tableColumn id="4" xr3:uid="{8A8110DE-637F-4CAF-A99C-8A4846D5F290}" name="Available" dataDxfId="143" totalsRowDxfId="142" dataCellStyle="Currency"/>
    <tableColumn id="5" xr3:uid="{3016D9A5-096A-4006-A663-612850CDBD2B}" name="Balance" totalsRowFunction="sum" dataDxfId="141" totalsRowDxfId="140" dataCellStyle="Currency">
      <calculatedColumnFormula>Table5[[#This Row],[Credit Limit]]-Table5[[#This Row],[Available]]</calculatedColumnFormula>
    </tableColumn>
    <tableColumn id="9" xr3:uid="{77FF5928-2468-435E-9A60-AA03AA03B52A}" name="Interest" totalsRowFunction="sum" dataDxfId="139" totalsRowDxfId="138" dataCellStyle="Currency">
      <calculatedColumnFormula>IF(Table5[[#This Row],[APR]]*Table5[[#This Row],[Balance]]*0.1&lt;&gt;0, Table5[[#This Row],[APR]]*Table5[[#This Row],[Balance]]*0.1, "")</calculatedColumnFormula>
    </tableColumn>
    <tableColumn id="6" xr3:uid="{267DC128-8C3E-4B36-9474-9A34AA33D187}" name="% owed" dataDxfId="137" totalsRowDxfId="136" dataCellStyle="Percent">
      <calculatedColumnFormula>IFERROR(Table5[[#This Row],[Balance]]/Table5[[#This Row],[Credit Limit]], )</calculatedColumnFormula>
    </tableColumn>
    <tableColumn id="10" xr3:uid="{682ABC25-0375-4E01-A7C2-884D1BDC1618}" name="Column1" dataDxfId="135" totalsRowDxfId="134">
      <calculatedColumnFormula>AND(ISTEXT(Table5[[#This Row],[Credit Cards]]), Table5[[#This Row],[Available]]=Table5[[#This Row],[Credit Limit]])</calculatedColumnFormula>
    </tableColumn>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D1619C1-8B63-4ADB-A6DD-519EB726F155}" name="Table21" displayName="Table21" ref="B4:I25" totalsRowShown="0" headerRowDxfId="27" dataDxfId="26">
  <autoFilter ref="B4:I25" xr:uid="{D28A0E4E-1C4D-4510-96A1-77313AF8D68A}">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E44164C-75B9-4FA6-BFC9-A83722B2D4EB}" name="if today =" dataDxfId="25">
      <calculatedColumnFormula>B4+1</calculatedColumnFormula>
    </tableColumn>
    <tableColumn id="2" xr3:uid="{586EFE25-1D6E-4978-906D-6B8DB0E93B6E}" name="mod( )" dataDxfId="24">
      <calculatedColumnFormula>MOD(B5, 14)</calculatedColumnFormula>
    </tableColumn>
    <tableColumn id="3" xr3:uid="{17AA29F1-C74B-4EDE-894F-FB26267BFC9D}" name="calibrate" dataDxfId="23">
      <calculatedColumnFormula>MOD(B5-MOD($B$2, 14), 14)</calculatedColumnFormula>
    </tableColumn>
    <tableColumn id="4" xr3:uid="{A13E0AB7-02EC-4901-BFA6-2185277A63A0}" name="days until" dataDxfId="22">
      <calculatedColumnFormula>14-D5</calculatedColumnFormula>
    </tableColumn>
    <tableColumn id="5" xr3:uid="{D615A2F8-9305-4946-B186-E4B2E264ED89}" name="next on" dataDxfId="21">
      <calculatedColumnFormula>B5+E5</calculatedColumnFormula>
    </tableColumn>
    <tableColumn id="6" xr3:uid="{1570DFFB-8824-46AC-8A7C-5D0153554001}" name="first" dataDxfId="20">
      <calculatedColumnFormula>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calculatedColumnFormula>
    </tableColumn>
    <tableColumn id="7" xr3:uid="{4909B3A2-F9ED-4962-A734-37F4A198E527}" name="second" dataDxfId="19">
      <calculatedColumnFormula>Table21[[#This Row],[first]]+14</calculatedColumnFormula>
    </tableColumn>
    <tableColumn id="8" xr3:uid="{E71B2ECE-E77C-432E-9483-37AF0669EF33}" name="third?" dataDxfId="18">
      <calculatedColumnFormula>IF(MONTH(Table21[[#This Row],[first]]+28)=MONTH(Table21[[#This Row],[first]]),
Table21[[#This Row],[first]]+28,
"")</calculatedColumnFormula>
    </tableColumn>
  </tableColumns>
  <tableStyleInfo name="Custom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D771F3F-A366-413B-8336-E5FF37503FDC}" name="Income" displayName="Income" ref="E1:G9" totalsRowShown="0" headerRowDxfId="133" dataDxfId="132">
  <tableColumns count="3">
    <tableColumn id="1" xr3:uid="{96579A67-EA07-406A-A1AB-77E937CF0FD7}" name="Income" dataDxfId="131"/>
    <tableColumn id="6" xr3:uid="{F3C3B526-7B47-455D-B3A7-47F0B6F0B90B}" name="Last Paid" dataDxfId="130"/>
    <tableColumn id="5" xr3:uid="{A714101B-8A0C-4021-B7B4-71E15933C510}" name="Amount" dataDxfId="129" dataCellStyle="Currency"/>
  </tableColumns>
  <tableStyleInfo name="Custom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5DD651-1B9B-4BCB-AC45-C94BF4F9ED2E}" name="Bills1" displayName="Bills1" ref="J12:O36" totalsRowCount="1" headerRowDxfId="128" dataDxfId="127" totalsRowDxfId="126">
  <tableColumns count="6">
    <tableColumn id="1" xr3:uid="{0AF3EE74-8763-4E7B-82CF-2E31D22D8547}" name="Bill" totalsRowLabel="Due before the 15th" dataDxfId="125" totalsRowDxfId="124"/>
    <tableColumn id="2" xr3:uid="{709C91F7-81E2-4E52-A09A-4BF0F8B8539C}" name="Date &lt;d&gt;" dataDxfId="123" totalsRowDxfId="122"/>
    <tableColumn id="3" xr3:uid="{2DC318D4-18B3-4762-B6D1-C07BE2D552E0}" name="Auto?" dataDxfId="121" totalsRowDxfId="120"/>
    <tableColumn id="4" xr3:uid="{B3B0CC77-5C03-468F-A2A4-1AD7FF0F4C9F}" name="Paid?" dataDxfId="119" totalsRowDxfId="118">
      <calculatedColumnFormula>IF(AND(DAY(TODAY())&gt;Bills1[[#This Row],[Date &lt;d&gt;]]-1,Bills1[[#This Row],[Date &lt;d&gt;]]&lt;&gt;0, Bills1[[#This Row],[Auto?]]="Y"), "Y",)</calculatedColumnFormula>
    </tableColumn>
    <tableColumn id="5" xr3:uid="{03112371-96B2-4FB9-940A-30DA7CB8AD16}" name="Amount" totalsRowFunction="custom" dataDxfId="117" totalsRowDxfId="116" dataCellStyle="Currency">
      <totalsRowFormula>-SUMIF(Bills1[Paid?], "&lt;&gt;Y", Bills1[Amount])</totalsRowFormula>
    </tableColumn>
    <tableColumn id="6" xr3:uid="{4B301D7B-2528-4E0E-89D1-D550E84D058E}" name="%" dataDxfId="115" totalsRowDxfId="114" dataCellStyle="Percent">
      <calculatedColumnFormula>IFERROR(-Bills1[[#This Row],[Amount]]/Dashboard!D$26, )</calculatedColumnFormula>
    </tableColumn>
  </tableColumns>
  <tableStyleInfo name="Custom 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0CF508-E0D2-434A-B3DE-E6E2B95D5202}" name="Bills2" displayName="Bills2" ref="Q12:V36" totalsRowCount="1" headerRowDxfId="113" dataDxfId="112" totalsRowDxfId="111">
  <tableColumns count="6">
    <tableColumn id="1" xr3:uid="{0AB706DD-DCBC-4C2B-A417-8C53121DE6B5}" name="Bill" totalsRowLabel="Total due by EOM" dataDxfId="110" totalsRowDxfId="109"/>
    <tableColumn id="2" xr3:uid="{579477DE-9C71-424B-8340-30A50BBCE021}" name="Date &lt;d&gt;" dataDxfId="108" totalsRowDxfId="107"/>
    <tableColumn id="3" xr3:uid="{5B0D56AC-85C6-4447-A880-128A632FFCA5}" name="Auto?" dataDxfId="106" totalsRowDxfId="105"/>
    <tableColumn id="4" xr3:uid="{F0E4277D-59EC-4094-B073-223D430CED23}" name="Paid?" dataDxfId="104" totalsRowDxfId="103"/>
    <tableColumn id="5" xr3:uid="{7C957144-B871-4D42-B28D-8203AABF0270}" name="Amount" totalsRowFunction="custom" dataDxfId="102" totalsRowDxfId="101" dataCellStyle="Currency">
      <totalsRowFormula>-SUMIF(Bills2[Paid?], "&lt;&gt;Y", Bills2[Amount])</totalsRowFormula>
    </tableColumn>
    <tableColumn id="6" xr3:uid="{136866C6-9B79-448B-8E58-54197E33A8C2}" name="%" totalsRowFunction="custom" dataDxfId="100" totalsRowDxfId="99" dataCellStyle="Percent">
      <calculatedColumnFormula>IFERROR(-Bills2[[#This Row],[Amount]]/Dashboard!D$26, )</calculatedColumnFormula>
      <totalsRowFormula>SUM(Bills1[Amount],Bills2[Amount])</totalsRowFormula>
    </tableColumn>
  </tableColumns>
  <tableStyleInfo name="Custom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BF7107-EFA0-48BE-9336-0F295C9FB6C0}" name="Bills3" displayName="Bills3" ref="E12:H36" totalsRowCount="1" headerRowDxfId="17" dataDxfId="16" totalsRowDxfId="15">
  <tableColumns count="4">
    <tableColumn id="1" xr3:uid="{B92E9239-DC95-4607-8158-346D0DDCAAEF}" name="Bill" totalsRowLabel="Total" dataDxfId="13" totalsRowDxfId="14"/>
    <tableColumn id="4" xr3:uid="{C78E6924-6A68-419F-9EF6-EA5E1CBB838E}" name="Paid?" dataDxfId="11" totalsRowDxfId="12"/>
    <tableColumn id="5" xr3:uid="{B6B0C7FF-29FD-4403-BF8E-F2B85F8C2A4A}" name="Amount" totalsRowFunction="custom" dataDxfId="9" totalsRowDxfId="10" dataCellStyle="Currency">
      <totalsRowFormula>-SUMIF(Bills3[Paid?], "&lt;&gt;Y", Bills3[Amount])</totalsRowFormula>
    </tableColumn>
    <tableColumn id="6" xr3:uid="{BDDE6C69-04ED-4F1A-80A1-E575191A1899}" name="%" totalsRowFunction="custom" dataDxfId="7" totalsRowDxfId="8" dataCellStyle="Percent">
      <calculatedColumnFormula>IFERROR(-Bills3[[#This Row],[Amount]]/Dashboard!D$26, )</calculatedColumnFormula>
      <totalsRowFormula>SUM(Bills1[Amount],Bills3[Amount])</totalsRowFormula>
    </tableColumn>
  </tableColumns>
  <tableStyleInfo name="Custom 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EB6A0B-3FC4-4415-8C64-34E5E61B83FE}" name="bills_curr_mo" displayName="bills_curr_mo" ref="A1:B51" headerRowDxfId="98" dataDxfId="97" totalsRowDxfId="96">
  <autoFilter ref="A1:B51" xr:uid="{E55A9AD7-0D02-4803-8AA2-E5977AD5D55D}">
    <filterColumn colId="0" hiddenButton="1"/>
    <filterColumn colId="1" hiddenButton="1"/>
  </autoFilter>
  <tableColumns count="2">
    <tableColumn id="1" xr3:uid="{9395F779-4889-4E6C-857B-532BBBDB1F32}" name="dates" dataDxfId="67" totalsRowDxfId="95">
      <calculatedColumnFormula>IF(ISNUMBER(bills_curr_mo[[#This Row],[bills]]), IFERROR(MONTH(TODAY())&amp;"/"&amp;INDEX(Bills1[Date &lt;d&gt;], ROWS(B$1:$B1)), IFERROR(MONTH(TODAY())&amp;"/"&amp;INDEX(DAY(Bills2[Date &lt;d&gt;]), (ROWS(B$1:$B1)-ROWS(Bills1[Date &lt;d&gt;]))), "")), "")</calculatedColumnFormula>
    </tableColumn>
    <tableColumn id="3" xr3:uid="{D96A24FC-135D-4E34-BC7E-4145ED38A1B2}" name="bills" dataDxfId="66" totalsRowDxfId="94" dataCellStyle="Currency" totalsRow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2B327FC-2D1B-436A-9FA8-0BFC92D0D255}" name="Table10" displayName="Table10" ref="Z1:AG184" totalsRowShown="0" headerRowDxfId="93" dataDxfId="92">
  <autoFilter ref="Z1:AG184" xr:uid="{3FA04D4A-47CB-4A55-A5EA-9FC0AE7F899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6A1DF43-AA03-4BA7-987A-CF948E51EC7A}" name="y if Monday" dataDxfId="65">
      <calculatedColumnFormula>IF(TEXT(Table10[[#This Row],[dates]], "ddd")="Mon", 999999999, "")</calculatedColumnFormula>
    </tableColumn>
    <tableColumn id="9" xr3:uid="{53AF4858-05B6-4E41-958B-4E40F65A9076}" name="x Month" dataDxfId="64">
      <calculatedColumnFormula>IF(TODAY()=Table10[[#This Row],[dates]], TEXT(DATE(2019, MONTH(Table10[[#This Row],[dates]]), 1), "mmm"), IFERROR(IF(MONTH(Table10[[#This Row],[dates]])&lt;&gt;MONTH(AC1), TEXT(DATE(2019, MONTH(Table10[[#This Row],[dates]]), 1), "mmm"), ""), ""))</calculatedColumnFormula>
    </tableColumn>
    <tableColumn id="3" xr3:uid="{3309963D-580A-4CB5-B7BE-6E788EA51BBD}" name="x day" dataDxfId="63">
      <calculatedColumnFormula>DAY('Data Preparation'!$AC2)</calculatedColumnFormula>
    </tableColumn>
    <tableColumn id="2" xr3:uid="{814A3388-38DC-4A26-AF62-63EEA8A0F181}" name="dates" dataDxfId="62">
      <calculatedColumnFormula>TODAY()+(ROW(AB2)-ROW($AB$2))</calculatedColumnFormula>
    </tableColumn>
    <tableColumn id="6" xr3:uid="{87E3B954-4703-4072-84CA-E22442816032}" name="delta $" dataDxfId="61"/>
    <tableColumn id="4" xr3:uid="{F8247036-707D-4586-8988-F3958B394822}" name="sum per date" dataDxfId="60" dataCellStyle="Currency">
      <calculatedColumnFormula>IF(ISNUMBER('Data Preparation'!$AB2), IFERROR(IF(SUMIF('Data Preparation'!#REF!, 'Data Preparation'!$AB2,'Data Preparation'!$B$2:$B$51)&lt;&gt;0, SUMIF('Data Preparation'!#REF!, 'Data Preparation'!$AB2,'Data Preparation'!$B$2:$B$51)+Dashboard!$D$23, AE1), ""), "")</calculatedColumnFormula>
    </tableColumn>
    <tableColumn id="5" xr3:uid="{5262D576-35F5-4B72-80D8-848292803D36}" name="fluctuation" dataDxfId="59" dataCellStyle="Currency">
      <calculatedColumnFormula>Table10[[#This Row],[sum per date]]-IF(MONTH(Table10[[#This Row],[dates]])=MONTH(TODAY()),
SUMIF(Bills3[Paid?], "&lt;&gt;Y", Bills3[Amount]), SUM(Bills3[Amount]))</calculatedColumnFormula>
    </tableColumn>
    <tableColumn id="8" xr3:uid="{A20D2982-A00C-4597-ABD1-6DC0E557BBC8}" name="local min" dataDxfId="58" dataCellStyle="Currency">
      <calculatedColumnFormula>IF(AND(
Table10[[#This Row],[fluctuation]]=MIN(INDEX('Data Preparation'!$AF$1:$AF$525, MATCH(Dashboard!$C$2,'Data Preparation'!$AC$1:$AC$525, 0)):INDEX('Data Preparation'!$AF$2:$AF$525, MATCH(Dashboard!$L$2,'Data Preparation'!$AC$1:$AC$525, 0))),
ISNA(INDEX($AF1:AF$2, MATCH(Table10[[#This Row],[fluctuation]], $AF1:AF$2, 0)))),
Table10[[#This Row],[fluctuation]],
NA())</calculatedColumnFormula>
    </tableColumn>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C773E7E-1929-4DBC-897B-89AE4F1128FA}" name="bills_curr_plus1" displayName="bills_curr_plus1" ref="D1:E51" totalsRowShown="0" headerRowDxfId="91" dataDxfId="90">
  <autoFilter ref="D1:E51" xr:uid="{A8C73255-B0A6-41BC-85E4-B334E3C48A89}">
    <filterColumn colId="0" hiddenButton="1"/>
    <filterColumn colId="1" hiddenButton="1"/>
  </autoFilter>
  <tableColumns count="2">
    <tableColumn id="1" xr3:uid="{316F99D7-C38C-4A1F-88BF-AEFB6EBF7A7A}" name="dates" dataDxfId="57">
      <calculatedColumnFormula>IF(ISNUMBER(bills_curr_plus1[[#This Row],[bills]]), IF(OR(MONTH($A$2)=12, YEAR($A$2)=YEAR(TODAY())+1), IFERROR(MONTH($A$2+32)&amp;"/"&amp;INDEX(Bills1[Date &lt;d&gt;], ROWS($B$1:$B1))&amp;"/"&amp;$C$51, IFERROR(MONTH($A$2+32)&amp;"/"&amp;INDEX(DAY(Bills2[Date &lt;d&gt;]), (ROWS($B$1:$B1)-ROWS(Bills1[Date &lt;d&gt;])))&amp;"/"&amp;$C$51, "")), IFERROR(MONTH($A$2+32)&amp;"/"&amp;INDEX(Bills1[Date &lt;d&gt;], ROWS($B$1:$B1)), IFERROR(MONTH($A$2+32)&amp;"/"&amp;INDEX(DAY(Bills2[Date &lt;d&gt;]), (ROWS($B$1:$B1)-ROWS(Bills1[Date &lt;d&gt;]))), ""))), "")</calculatedColumnFormula>
    </tableColumn>
    <tableColumn id="3" xr3:uid="{C072DDE7-E642-4F29-9272-108F14E6E122}" name="bills" dataDxfId="56" dataCellStyle="Currency">
      <calculatedColumnFormula>IF(IFERROR(INDEX(Bills1[Amount],ROWS($B$1:$B1)),IFERROR(INDEX(Bills2[Amount],(ROWS($B$1:$B1)-ROWS(Bills1[Amount]))),))&gt;0,-IFERROR(INDEX(Bills1[Amount],ROWS($B$1:$B1)),IFERROR(INDEX(Bills2[Amount],(ROWS($B$1:$B1)-ROWS(Bills1[Amount]))),)), "")</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3.xml"/><Relationship Id="rId13" Type="http://schemas.openxmlformats.org/officeDocument/2006/relationships/table" Target="../tables/table18.xml"/><Relationship Id="rId3" Type="http://schemas.openxmlformats.org/officeDocument/2006/relationships/table" Target="../tables/table8.xml"/><Relationship Id="rId7" Type="http://schemas.openxmlformats.org/officeDocument/2006/relationships/table" Target="../tables/table12.xml"/><Relationship Id="rId12" Type="http://schemas.openxmlformats.org/officeDocument/2006/relationships/table" Target="../tables/table17.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11" Type="http://schemas.openxmlformats.org/officeDocument/2006/relationships/table" Target="../tables/table16.xml"/><Relationship Id="rId5" Type="http://schemas.openxmlformats.org/officeDocument/2006/relationships/table" Target="../tables/table10.xml"/><Relationship Id="rId10" Type="http://schemas.openxmlformats.org/officeDocument/2006/relationships/table" Target="../tables/table15.xml"/><Relationship Id="rId4" Type="http://schemas.openxmlformats.org/officeDocument/2006/relationships/table" Target="../tables/table9.xml"/><Relationship Id="rId9" Type="http://schemas.openxmlformats.org/officeDocument/2006/relationships/table" Target="../tables/table14.xml"/><Relationship Id="rId14" Type="http://schemas.openxmlformats.org/officeDocument/2006/relationships/table" Target="../tables/table1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1034B-B2E0-4387-B3EA-C5AABDC3F315}">
  <sheetPr codeName="Sheet2">
    <pageSetUpPr autoPageBreaks="0"/>
  </sheetPr>
  <dimension ref="A1:L51"/>
  <sheetViews>
    <sheetView showGridLines="0" tabSelected="1" zoomScale="85" zoomScaleNormal="85" zoomScalePageLayoutView="120" workbookViewId="0">
      <selection activeCell="I30" sqref="I30"/>
    </sheetView>
  </sheetViews>
  <sheetFormatPr defaultColWidth="10.875" defaultRowHeight="15.95" customHeight="1" x14ac:dyDescent="0.25"/>
  <cols>
    <col min="1" max="1" width="4.625" style="1" customWidth="1"/>
    <col min="2" max="2" width="15.625" style="1" customWidth="1"/>
    <col min="3" max="6" width="10.625" style="1" customWidth="1"/>
    <col min="7" max="7" width="2.875" style="1" hidden="1" customWidth="1"/>
    <col min="8" max="8" width="2.625" style="1" customWidth="1"/>
    <col min="9" max="16384" width="10.875" style="1"/>
  </cols>
  <sheetData>
    <row r="1" spans="2:6" ht="15.95" customHeight="1" x14ac:dyDescent="0.25">
      <c r="C1" s="31"/>
      <c r="D1" s="35"/>
      <c r="F1"/>
    </row>
    <row r="2" spans="2:6" ht="15.95" customHeight="1" x14ac:dyDescent="0.25">
      <c r="C2" s="31"/>
      <c r="F2"/>
    </row>
    <row r="3" spans="2:6" ht="15.95" customHeight="1" x14ac:dyDescent="0.25">
      <c r="C3" s="32"/>
      <c r="D3" s="32"/>
      <c r="E3" s="31"/>
    </row>
    <row r="4" spans="2:6" ht="15.95" customHeight="1" x14ac:dyDescent="0.25">
      <c r="B4" s="31"/>
      <c r="C4" s="32"/>
      <c r="D4" s="32"/>
      <c r="E4" s="31"/>
    </row>
    <row r="5" spans="2:6" ht="15.95" customHeight="1" x14ac:dyDescent="0.25">
      <c r="E5" s="31"/>
    </row>
    <row r="16" spans="2:6" ht="15.95" customHeight="1" x14ac:dyDescent="0.25">
      <c r="B16" s="21" t="s">
        <v>29</v>
      </c>
      <c r="C16" s="6"/>
      <c r="D16" s="7"/>
    </row>
    <row r="17" spans="1:12" ht="15.95" customHeight="1" x14ac:dyDescent="0.25">
      <c r="B17" s="23" t="s">
        <v>14</v>
      </c>
      <c r="C17" s="18"/>
      <c r="D17" s="41">
        <f>Dashboard!D18</f>
        <v>2000</v>
      </c>
    </row>
    <row r="18" spans="1:12" ht="15.95" customHeight="1" x14ac:dyDescent="0.25">
      <c r="B18" s="25" t="s">
        <v>15</v>
      </c>
      <c r="C18" s="20"/>
      <c r="D18" s="42">
        <f>Dashboard!D19</f>
        <v>0</v>
      </c>
    </row>
    <row r="19" spans="1:12" ht="15.95" customHeight="1" x14ac:dyDescent="0.25">
      <c r="B19" s="19" t="s">
        <v>16</v>
      </c>
      <c r="C19" s="4"/>
      <c r="D19" s="89">
        <f>D18+D17</f>
        <v>2000</v>
      </c>
    </row>
    <row r="20" spans="1:12" ht="15.95" customHeight="1" x14ac:dyDescent="0.25">
      <c r="B20" s="28"/>
      <c r="C20" s="24"/>
      <c r="D20" s="24"/>
    </row>
    <row r="21" spans="1:12" ht="15.95" customHeight="1" x14ac:dyDescent="0.25">
      <c r="B21" s="26" t="s">
        <v>17</v>
      </c>
      <c r="C21" s="27"/>
      <c r="D21" s="68">
        <f ca="1">Dashboard!D22</f>
        <v>2000</v>
      </c>
    </row>
    <row r="22" spans="1:12" ht="15.95" customHeight="1" x14ac:dyDescent="0.25">
      <c r="B22" s="29" t="s">
        <v>18</v>
      </c>
      <c r="C22" s="30"/>
      <c r="D22" s="69">
        <f ca="1">Dashboard!D23</f>
        <v>3668</v>
      </c>
    </row>
    <row r="23" spans="1:12" ht="15.95" customHeight="1" x14ac:dyDescent="0.25">
      <c r="B23" s="19"/>
      <c r="C23" s="4"/>
      <c r="D23" s="4"/>
    </row>
    <row r="24" spans="1:12" ht="15.95" customHeight="1" x14ac:dyDescent="0.25">
      <c r="B24" s="23" t="s">
        <v>19</v>
      </c>
      <c r="C24" s="18"/>
      <c r="D24" s="41">
        <f>Dashboard!D25</f>
        <v>2000</v>
      </c>
      <c r="I24" s="31"/>
      <c r="J24" s="31"/>
      <c r="K24" s="31"/>
      <c r="L24" s="31"/>
    </row>
    <row r="25" spans="1:12" ht="15.95" customHeight="1" x14ac:dyDescent="0.25">
      <c r="B25" s="25" t="s">
        <v>20</v>
      </c>
      <c r="C25" s="20"/>
      <c r="D25" s="42">
        <f>Dashboard!D26</f>
        <v>-1432</v>
      </c>
      <c r="E25" s="183">
        <f>Dashboard!J31</f>
        <v>0</v>
      </c>
      <c r="F25" s="183"/>
      <c r="I25" s="31"/>
      <c r="J25" s="31"/>
      <c r="K25" s="31"/>
      <c r="L25" s="31"/>
    </row>
    <row r="26" spans="1:12" ht="15.95" customHeight="1" x14ac:dyDescent="0.25">
      <c r="B26" s="19" t="s">
        <v>21</v>
      </c>
      <c r="C26" s="4"/>
      <c r="D26" s="89">
        <f>SUM(D24:D25)</f>
        <v>568</v>
      </c>
      <c r="E26" s="183"/>
      <c r="F26" s="183"/>
    </row>
    <row r="27" spans="1:12" ht="15.95" customHeight="1" x14ac:dyDescent="0.25">
      <c r="E27" s="184">
        <f>IF(Table5[[#Totals],[Balance]]=0, 0, IFERROR(Table5[[#Totals],[Balance]]/Dashboard!$D$27, ""))</f>
        <v>0</v>
      </c>
      <c r="F27" s="184"/>
    </row>
    <row r="28" spans="1:12" ht="15.95" customHeight="1" x14ac:dyDescent="0.25">
      <c r="B28" s="22" t="s">
        <v>0</v>
      </c>
      <c r="C28" s="13" t="s">
        <v>1</v>
      </c>
      <c r="D28" s="13" t="s">
        <v>3</v>
      </c>
      <c r="E28" s="13" t="s">
        <v>2</v>
      </c>
      <c r="F28" s="13" t="s">
        <v>4</v>
      </c>
      <c r="G28" s="43" t="s">
        <v>6</v>
      </c>
    </row>
    <row r="29" spans="1:12" ht="15.95" customHeight="1" x14ac:dyDescent="0.25">
      <c r="A29" s="31"/>
      <c r="B29" s="38">
        <f>Dashboard!F18</f>
        <v>0</v>
      </c>
      <c r="C29" s="52">
        <f>Dashboard!I18</f>
        <v>0</v>
      </c>
      <c r="D29" s="54">
        <f>Dashboard!J18</f>
        <v>0</v>
      </c>
      <c r="E29" s="53" t="str">
        <f>Dashboard!K18</f>
        <v/>
      </c>
      <c r="F29" s="180">
        <f>Dashboard!L18</f>
        <v>0</v>
      </c>
      <c r="G29" s="1" t="b">
        <f>NOT(AND(ISTEXT(Table523[[#This Row],[Credit Cards]]), Table523[[#This Row],[Balance]]&gt;0))</f>
        <v>1</v>
      </c>
    </row>
    <row r="30" spans="1:12" ht="15.95" customHeight="1" x14ac:dyDescent="0.25">
      <c r="A30" s="31"/>
      <c r="B30" s="38">
        <f>Dashboard!F19</f>
        <v>0</v>
      </c>
      <c r="C30" s="52">
        <f>Dashboard!I19</f>
        <v>0</v>
      </c>
      <c r="D30" s="54">
        <f>Dashboard!J19</f>
        <v>0</v>
      </c>
      <c r="E30" s="53" t="str">
        <f>Dashboard!K19</f>
        <v/>
      </c>
      <c r="F30" s="180">
        <f>Dashboard!L19</f>
        <v>0</v>
      </c>
      <c r="G30" s="1" t="b">
        <f>NOT(AND(ISTEXT(Table523[[#This Row],[Credit Cards]]), Table523[[#This Row],[Balance]]&gt;0))</f>
        <v>1</v>
      </c>
    </row>
    <row r="31" spans="1:12" ht="15.95" customHeight="1" x14ac:dyDescent="0.25">
      <c r="A31" s="31"/>
      <c r="B31" s="38">
        <f>Dashboard!F20</f>
        <v>0</v>
      </c>
      <c r="C31" s="52">
        <f>Dashboard!I20</f>
        <v>0</v>
      </c>
      <c r="D31" s="54">
        <f>Dashboard!J20</f>
        <v>0</v>
      </c>
      <c r="E31" s="53" t="str">
        <f>Dashboard!K20</f>
        <v/>
      </c>
      <c r="F31" s="180">
        <f>Dashboard!L20</f>
        <v>0</v>
      </c>
      <c r="G31" s="1" t="b">
        <f>NOT(AND(ISTEXT(Table523[[#This Row],[Credit Cards]]), Table523[[#This Row],[Balance]]&gt;0))</f>
        <v>1</v>
      </c>
    </row>
    <row r="32" spans="1:12" ht="15.95" customHeight="1" x14ac:dyDescent="0.25">
      <c r="A32" s="31"/>
      <c r="B32" s="38">
        <f>Dashboard!F21</f>
        <v>0</v>
      </c>
      <c r="C32" s="52">
        <f>Dashboard!I21</f>
        <v>0</v>
      </c>
      <c r="D32" s="54">
        <f>Dashboard!J21</f>
        <v>0</v>
      </c>
      <c r="E32" s="53" t="str">
        <f>Dashboard!K21</f>
        <v/>
      </c>
      <c r="F32" s="180">
        <f>Dashboard!L21</f>
        <v>0</v>
      </c>
      <c r="G32" s="1" t="b">
        <f>NOT(AND(ISTEXT(Table523[[#This Row],[Credit Cards]]), Table523[[#This Row],[Balance]]&gt;0))</f>
        <v>1</v>
      </c>
    </row>
    <row r="33" spans="1:8" ht="15.95" customHeight="1" x14ac:dyDescent="0.25">
      <c r="A33" s="31"/>
      <c r="B33" s="38">
        <f>Dashboard!F22</f>
        <v>0</v>
      </c>
      <c r="C33" s="52">
        <f>Dashboard!I22</f>
        <v>0</v>
      </c>
      <c r="D33" s="54">
        <f>Dashboard!J22</f>
        <v>0</v>
      </c>
      <c r="E33" s="53" t="str">
        <f>Dashboard!K22</f>
        <v/>
      </c>
      <c r="F33" s="180">
        <f>Dashboard!L22</f>
        <v>0</v>
      </c>
      <c r="G33" s="1" t="b">
        <f>NOT(AND(ISTEXT(Table523[[#This Row],[Credit Cards]]), Table523[[#This Row],[Balance]]&gt;0))</f>
        <v>1</v>
      </c>
    </row>
    <row r="34" spans="1:8" ht="15.95" customHeight="1" x14ac:dyDescent="0.25">
      <c r="A34" s="31"/>
      <c r="B34" s="38">
        <f>Dashboard!F23</f>
        <v>0</v>
      </c>
      <c r="C34" s="52">
        <f>Dashboard!I23</f>
        <v>0</v>
      </c>
      <c r="D34" s="54">
        <f>Dashboard!J23</f>
        <v>0</v>
      </c>
      <c r="E34" s="53" t="str">
        <f>Dashboard!K23</f>
        <v/>
      </c>
      <c r="F34" s="180">
        <f>Dashboard!L23</f>
        <v>0</v>
      </c>
      <c r="G34" s="1" t="b">
        <f>NOT(AND(ISTEXT(Table523[[#This Row],[Credit Cards]]), Table523[[#This Row],[Balance]]&gt;0))</f>
        <v>1</v>
      </c>
    </row>
    <row r="35" spans="1:8" ht="15.95" customHeight="1" x14ac:dyDescent="0.25">
      <c r="A35" s="31"/>
      <c r="B35" s="39">
        <f>Dashboard!F24</f>
        <v>0</v>
      </c>
      <c r="C35" s="52">
        <f>Dashboard!I24</f>
        <v>0</v>
      </c>
      <c r="D35" s="54">
        <f>Dashboard!J24</f>
        <v>0</v>
      </c>
      <c r="E35" s="53" t="str">
        <f>Dashboard!K24</f>
        <v/>
      </c>
      <c r="F35" s="180">
        <f>Dashboard!L24</f>
        <v>0</v>
      </c>
      <c r="G35" s="1" t="b">
        <f>NOT(AND(ISTEXT(Table523[[#This Row],[Credit Cards]]), Table523[[#This Row],[Balance]]&gt;0))</f>
        <v>1</v>
      </c>
    </row>
    <row r="36" spans="1:8" ht="15.95" customHeight="1" x14ac:dyDescent="0.25">
      <c r="A36" s="31"/>
      <c r="B36" s="39">
        <f>Dashboard!F25</f>
        <v>0</v>
      </c>
      <c r="C36" s="52">
        <f>Dashboard!I25</f>
        <v>0</v>
      </c>
      <c r="D36" s="54">
        <f>Dashboard!J25</f>
        <v>0</v>
      </c>
      <c r="E36" s="53" t="str">
        <f>Dashboard!K25</f>
        <v/>
      </c>
      <c r="F36" s="180">
        <f>Dashboard!L25</f>
        <v>0</v>
      </c>
      <c r="G36" s="1" t="b">
        <f>NOT(AND(ISTEXT(Table523[[#This Row],[Credit Cards]]), Table523[[#This Row],[Balance]]&gt;0))</f>
        <v>1</v>
      </c>
    </row>
    <row r="37" spans="1:8" ht="15.95" customHeight="1" x14ac:dyDescent="0.25">
      <c r="A37" s="31"/>
      <c r="B37" s="39">
        <f>Dashboard!F26</f>
        <v>0</v>
      </c>
      <c r="C37" s="52">
        <f>Dashboard!I26</f>
        <v>0</v>
      </c>
      <c r="D37" s="54">
        <f>Dashboard!J26</f>
        <v>0</v>
      </c>
      <c r="E37" s="53" t="str">
        <f>Dashboard!K26</f>
        <v/>
      </c>
      <c r="F37" s="180">
        <f>Dashboard!L26</f>
        <v>0</v>
      </c>
      <c r="G37" s="1" t="b">
        <f>NOT(AND(ISTEXT(Table523[[#This Row],[Credit Cards]]), Table523[[#This Row],[Balance]]&gt;0))</f>
        <v>1</v>
      </c>
    </row>
    <row r="38" spans="1:8" ht="15.95" customHeight="1" x14ac:dyDescent="0.25">
      <c r="A38" s="31"/>
      <c r="B38" s="40">
        <f>Dashboard!F27</f>
        <v>0</v>
      </c>
      <c r="C38" s="52">
        <f>Dashboard!I27</f>
        <v>0</v>
      </c>
      <c r="D38" s="54">
        <f>Dashboard!J27</f>
        <v>0</v>
      </c>
      <c r="E38" s="53" t="str">
        <f>Dashboard!K27</f>
        <v/>
      </c>
      <c r="F38" s="180">
        <f>Dashboard!L27</f>
        <v>0</v>
      </c>
      <c r="G38" s="1" t="b">
        <f>NOT(AND(ISTEXT(Table523[[#This Row],[Credit Cards]]), Table523[[#This Row],[Balance]]&gt;0))</f>
        <v>1</v>
      </c>
    </row>
    <row r="39" spans="1:8" ht="15.95" customHeight="1" x14ac:dyDescent="0.25">
      <c r="A39" s="31"/>
      <c r="B39" s="39">
        <f>Dashboard!F28</f>
        <v>0</v>
      </c>
      <c r="C39" s="91">
        <f>Dashboard!I28</f>
        <v>0</v>
      </c>
      <c r="D39" s="92">
        <f>Dashboard!J28</f>
        <v>0</v>
      </c>
      <c r="E39" s="93" t="str">
        <f>Dashboard!K28</f>
        <v/>
      </c>
      <c r="F39" s="181">
        <f>Dashboard!L28</f>
        <v>0</v>
      </c>
      <c r="G39" s="1" t="b">
        <f>NOT(AND(ISTEXT(Table523[[#This Row],[Credit Cards]]), Table523[[#This Row],[Balance]]&gt;0))</f>
        <v>1</v>
      </c>
    </row>
    <row r="40" spans="1:8" ht="15.95" customHeight="1" x14ac:dyDescent="0.25">
      <c r="A40" s="31"/>
      <c r="B40" s="14" t="s">
        <v>28</v>
      </c>
      <c r="C40" s="55">
        <f>SUBTOTAL(109,Table523[Available])</f>
        <v>0</v>
      </c>
      <c r="D40" s="50">
        <f>SUBTOTAL(109,Table523[Balance])</f>
        <v>0</v>
      </c>
      <c r="E40" s="50">
        <f>SUBTOTAL(109,Table523[Interest])</f>
        <v>0</v>
      </c>
      <c r="F40" s="182"/>
      <c r="G40" s="31"/>
    </row>
    <row r="41" spans="1:8" ht="15.95" customHeight="1" x14ac:dyDescent="0.25">
      <c r="B41" s="31"/>
      <c r="C41" s="31"/>
      <c r="D41" s="31"/>
      <c r="E41" s="31"/>
      <c r="F41" s="31"/>
      <c r="G41" s="31"/>
      <c r="H41" s="31"/>
    </row>
    <row r="51" spans="4:4" ht="15.95" customHeight="1" x14ac:dyDescent="0.25">
      <c r="D51" s="1" t="s">
        <v>23</v>
      </c>
    </row>
  </sheetData>
  <sheetProtection sheet="1" objects="1" scenarios="1" selectLockedCells="1"/>
  <dataConsolidate/>
  <mergeCells count="2">
    <mergeCell ref="E25:F26"/>
    <mergeCell ref="E27:F27"/>
  </mergeCells>
  <conditionalFormatting sqref="E29:E39">
    <cfRule type="colorScale" priority="4">
      <colorScale>
        <cfvo type="num" val="0"/>
        <cfvo type="percentile" val="90"/>
        <cfvo type="max"/>
        <color theme="0"/>
        <color rgb="FFFFD1D2"/>
        <color rgb="FFFF8F8F"/>
      </colorScale>
    </cfRule>
  </conditionalFormatting>
  <conditionalFormatting sqref="D29:E39">
    <cfRule type="cellIs" dxfId="6" priority="3" operator="equal">
      <formula>0</formula>
    </cfRule>
  </conditionalFormatting>
  <conditionalFormatting sqref="D21:D22">
    <cfRule type="cellIs" dxfId="5" priority="2" operator="lessThan">
      <formula>0</formula>
    </cfRule>
  </conditionalFormatting>
  <conditionalFormatting sqref="B29:C39">
    <cfRule type="expression" dxfId="4" priority="1">
      <formula>$G23</formula>
    </cfRule>
  </conditionalFormatting>
  <pageMargins left="0.7" right="0.7" top="0.75" bottom="0.75" header="0.3" footer="0.3"/>
  <pageSetup orientation="portrait" horizontalDpi="1200" verticalDpi="1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sheetPr>
  <dimension ref="A1:AD31"/>
  <sheetViews>
    <sheetView showGridLines="0" zoomScale="85" zoomScaleNormal="85" zoomScalePageLayoutView="120" workbookViewId="0">
      <selection activeCell="D18" sqref="D18"/>
    </sheetView>
  </sheetViews>
  <sheetFormatPr defaultColWidth="9" defaultRowHeight="15.95" customHeight="1" x14ac:dyDescent="0.25"/>
  <cols>
    <col min="1" max="1" width="2.625" style="1" customWidth="1"/>
    <col min="2" max="2" width="9" style="1" customWidth="1"/>
    <col min="3" max="3" width="15.5" style="1" customWidth="1"/>
    <col min="4" max="4" width="12.375" style="1" bestFit="1" customWidth="1"/>
    <col min="5" max="5" width="2.625" style="1" customWidth="1"/>
    <col min="6" max="6" width="15.625" style="1" customWidth="1"/>
    <col min="7" max="7" width="9" style="1"/>
    <col min="8" max="9" width="10.625" style="1" customWidth="1"/>
    <col min="10" max="10" width="15.625" style="1" customWidth="1"/>
    <col min="11" max="12" width="9" style="1"/>
    <col min="13" max="13" width="9" style="1" hidden="1" customWidth="1"/>
    <col min="14" max="16384" width="9" style="1"/>
  </cols>
  <sheetData>
    <row r="1" spans="1:30" ht="15.95" customHeight="1" x14ac:dyDescent="0.25">
      <c r="A1" s="9"/>
      <c r="D1" s="9"/>
      <c r="I1" s="9"/>
      <c r="J1" s="9"/>
      <c r="M1" s="9"/>
      <c r="N1" s="9"/>
      <c r="O1" s="9"/>
      <c r="P1" s="9"/>
      <c r="Q1" s="9"/>
      <c r="R1" s="9"/>
      <c r="S1" s="9"/>
      <c r="T1" s="9"/>
    </row>
    <row r="2" spans="1:30" ht="15.95" customHeight="1" x14ac:dyDescent="0.25">
      <c r="A2" s="9"/>
      <c r="D2" s="9"/>
      <c r="I2" s="9"/>
      <c r="J2" s="190" t="s">
        <v>56</v>
      </c>
      <c r="K2" s="190"/>
      <c r="L2" s="106">
        <v>43835</v>
      </c>
      <c r="M2" s="9"/>
      <c r="N2" s="9"/>
      <c r="O2" s="9"/>
    </row>
    <row r="3" spans="1:30" ht="15.95" customHeight="1" x14ac:dyDescent="0.25">
      <c r="A3" s="9"/>
      <c r="E3" s="9"/>
      <c r="F3" s="9"/>
      <c r="G3" s="9"/>
      <c r="H3" s="9"/>
      <c r="I3" s="9"/>
      <c r="J3" s="9"/>
      <c r="K3" s="9"/>
      <c r="L3" s="9"/>
      <c r="M3" s="9"/>
      <c r="N3" s="9"/>
      <c r="O3" s="9"/>
    </row>
    <row r="4" spans="1:30" ht="15.95" customHeight="1" x14ac:dyDescent="0.25">
      <c r="A4" s="9"/>
      <c r="E4" s="9"/>
      <c r="F4" s="9"/>
      <c r="G4" s="9"/>
      <c r="H4" s="9"/>
      <c r="I4" s="9"/>
      <c r="J4" s="9"/>
      <c r="K4" s="9"/>
      <c r="L4" s="9"/>
      <c r="M4" s="9"/>
      <c r="N4" s="9"/>
      <c r="O4" s="9"/>
    </row>
    <row r="5" spans="1:30" ht="15.95" customHeight="1" x14ac:dyDescent="0.25">
      <c r="A5" s="9"/>
      <c r="E5" s="9"/>
      <c r="F5" s="9"/>
      <c r="G5" s="9"/>
      <c r="H5" s="9"/>
      <c r="I5" s="9"/>
      <c r="J5" s="9"/>
      <c r="K5" s="9"/>
      <c r="L5" s="9"/>
      <c r="M5" s="9"/>
      <c r="N5" s="9"/>
      <c r="O5" s="9"/>
    </row>
    <row r="6" spans="1:30" ht="15.95" customHeight="1" x14ac:dyDescent="0.25">
      <c r="A6" s="9"/>
      <c r="E6" s="9"/>
      <c r="F6" s="9"/>
      <c r="G6" s="9"/>
      <c r="H6" s="9"/>
      <c r="I6" s="9"/>
      <c r="J6" s="9"/>
      <c r="K6" s="9"/>
      <c r="L6" s="9"/>
      <c r="M6" s="9"/>
      <c r="N6" s="9"/>
      <c r="O6" s="9"/>
    </row>
    <row r="7" spans="1:30" ht="15.95" customHeight="1" x14ac:dyDescent="0.25">
      <c r="A7" s="9"/>
      <c r="E7" s="9"/>
      <c r="F7" s="9"/>
      <c r="G7" s="9"/>
      <c r="H7" s="9"/>
      <c r="I7" s="9"/>
      <c r="J7" s="9"/>
      <c r="K7" s="9"/>
      <c r="L7" s="9"/>
      <c r="M7" s="9"/>
      <c r="N7" s="9"/>
      <c r="O7" s="9"/>
    </row>
    <row r="8" spans="1:30" ht="15.95" customHeight="1" x14ac:dyDescent="0.25">
      <c r="A8" s="9"/>
      <c r="E8" s="9"/>
      <c r="F8" s="9"/>
      <c r="G8" s="9"/>
      <c r="H8" s="9"/>
      <c r="I8" s="9"/>
      <c r="J8" s="9"/>
      <c r="K8" s="9"/>
      <c r="L8" s="9"/>
      <c r="M8" s="9"/>
      <c r="N8" s="9"/>
      <c r="O8" s="9"/>
    </row>
    <row r="9" spans="1:30" ht="15.95" customHeight="1" x14ac:dyDescent="0.25">
      <c r="A9" s="9"/>
      <c r="E9" s="9"/>
      <c r="F9" s="9"/>
      <c r="G9" s="9"/>
      <c r="H9" s="9"/>
      <c r="I9" s="9"/>
      <c r="J9" s="9"/>
      <c r="K9" s="9"/>
      <c r="L9" s="9"/>
      <c r="M9" s="9"/>
      <c r="N9" s="9"/>
      <c r="O9" s="9"/>
    </row>
    <row r="10" spans="1:30" ht="15.95" customHeight="1" x14ac:dyDescent="0.25">
      <c r="A10" s="9"/>
      <c r="E10" s="9"/>
      <c r="F10" s="9"/>
      <c r="G10" s="9"/>
      <c r="H10" s="9"/>
      <c r="I10" s="9"/>
      <c r="J10" s="9"/>
      <c r="K10" s="9"/>
      <c r="L10" s="9"/>
      <c r="M10" s="9"/>
      <c r="N10" s="9"/>
      <c r="O10" s="9"/>
    </row>
    <row r="11" spans="1:30" ht="15.95" customHeight="1" x14ac:dyDescent="0.25">
      <c r="A11" s="9"/>
      <c r="E11" s="9"/>
      <c r="F11" s="9"/>
      <c r="G11" s="9"/>
      <c r="H11" s="9"/>
      <c r="I11" s="9"/>
      <c r="J11" s="9"/>
      <c r="K11" s="9"/>
      <c r="L11" s="9"/>
      <c r="M11" s="9"/>
      <c r="N11" s="9"/>
      <c r="O11" s="9"/>
    </row>
    <row r="12" spans="1:30" ht="15.95" customHeight="1" x14ac:dyDescent="0.25">
      <c r="A12" s="9"/>
      <c r="F12" s="9"/>
      <c r="G12" s="9"/>
      <c r="H12" s="9"/>
      <c r="I12" s="9"/>
      <c r="J12" s="9"/>
      <c r="K12" s="9"/>
      <c r="L12" s="9"/>
      <c r="M12" s="9"/>
      <c r="N12" s="9"/>
      <c r="O12" s="9"/>
    </row>
    <row r="13" spans="1:30" ht="15.95" customHeight="1" x14ac:dyDescent="0.25">
      <c r="A13" s="9"/>
      <c r="F13" s="9"/>
      <c r="G13" s="9"/>
      <c r="H13" s="9"/>
      <c r="I13" s="9"/>
      <c r="J13" s="9"/>
      <c r="K13" s="9"/>
      <c r="L13" s="9"/>
      <c r="M13" s="9"/>
      <c r="N13" s="9"/>
      <c r="O13" s="9"/>
    </row>
    <row r="14" spans="1:30" ht="15.95" customHeight="1" x14ac:dyDescent="0.25">
      <c r="J14" s="36"/>
      <c r="K14" s="36"/>
      <c r="L14" s="36"/>
      <c r="M14" s="36"/>
    </row>
    <row r="15" spans="1:30" ht="15.95" customHeight="1" x14ac:dyDescent="0.25">
      <c r="B15" s="36"/>
      <c r="C15" s="36"/>
      <c r="D15" s="36"/>
      <c r="AC15" s="37"/>
      <c r="AD15" s="37"/>
    </row>
    <row r="17" spans="2:29" ht="15.95" customHeight="1" x14ac:dyDescent="0.25">
      <c r="B17" s="21" t="s">
        <v>29</v>
      </c>
      <c r="C17" s="6"/>
      <c r="D17" s="7"/>
      <c r="F17" s="22" t="s">
        <v>0</v>
      </c>
      <c r="G17" s="64" t="s">
        <v>22</v>
      </c>
      <c r="H17" s="13" t="s">
        <v>40</v>
      </c>
      <c r="I17" s="13" t="s">
        <v>1</v>
      </c>
      <c r="J17" s="13" t="s">
        <v>3</v>
      </c>
      <c r="K17" s="13" t="s">
        <v>2</v>
      </c>
      <c r="L17" s="43" t="s">
        <v>4</v>
      </c>
      <c r="M17" s="43" t="s">
        <v>6</v>
      </c>
    </row>
    <row r="18" spans="2:29" ht="15.95" customHeight="1" x14ac:dyDescent="0.25">
      <c r="B18" s="60" t="s">
        <v>14</v>
      </c>
      <c r="C18" s="18"/>
      <c r="D18" s="104">
        <v>2000</v>
      </c>
      <c r="F18" s="97"/>
      <c r="G18" s="98"/>
      <c r="H18" s="99"/>
      <c r="I18" s="100"/>
      <c r="J18" s="65">
        <f>Table5[[#This Row],[Credit Limit]]-Table5[[#This Row],[Available]]</f>
        <v>0</v>
      </c>
      <c r="K18" s="66" t="str">
        <f>IF(Table5[[#This Row],[APR]]*Table5[[#This Row],[Balance]]*0.1&lt;&gt;0, Table5[[#This Row],[APR]]*Table5[[#This Row],[Balance]]*0.1, "")</f>
        <v/>
      </c>
      <c r="L18" s="44">
        <f>IFERROR(Table5[[#This Row],[Balance]]/Table5[[#This Row],[Credit Limit]], )</f>
        <v>0</v>
      </c>
      <c r="M18" s="1" t="b">
        <f>AND(ISTEXT(Table5[[#This Row],[Credit Cards]]), Table5[[#This Row],[Available]]=Table5[[#This Row],[Credit Limit]])</f>
        <v>0</v>
      </c>
    </row>
    <row r="19" spans="2:29" ht="15.95" customHeight="1" x14ac:dyDescent="0.25">
      <c r="B19" s="61" t="s">
        <v>15</v>
      </c>
      <c r="C19" s="20"/>
      <c r="D19" s="105"/>
      <c r="F19" s="97"/>
      <c r="G19" s="98"/>
      <c r="H19" s="99"/>
      <c r="I19" s="100"/>
      <c r="J19" s="65">
        <f>Table5[[#This Row],[Credit Limit]]-Table5[[#This Row],[Available]]</f>
        <v>0</v>
      </c>
      <c r="K19" s="66" t="str">
        <f>IF(Table5[[#This Row],[APR]]*Table5[[#This Row],[Balance]]*0.1&lt;&gt;0, Table5[[#This Row],[APR]]*Table5[[#This Row],[Balance]]*0.1, "")</f>
        <v/>
      </c>
      <c r="L19" s="48">
        <f>IFERROR(Table5[[#This Row],[Balance]]/Table5[[#This Row],[Credit Limit]], )</f>
        <v>0</v>
      </c>
      <c r="M19" s="1" t="b">
        <f>AND(ISTEXT(Table5[[#This Row],[Credit Cards]]), Table5[[#This Row],[Available]]=Table5[[#This Row],[Credit Limit]])</f>
        <v>0</v>
      </c>
    </row>
    <row r="20" spans="2:29" ht="15.95" customHeight="1" x14ac:dyDescent="0.25">
      <c r="B20" s="62" t="s">
        <v>16</v>
      </c>
      <c r="C20" s="4"/>
      <c r="D20" s="89">
        <f>D19+D18</f>
        <v>2000</v>
      </c>
      <c r="F20" s="97"/>
      <c r="G20" s="98"/>
      <c r="H20" s="99"/>
      <c r="I20" s="100"/>
      <c r="J20" s="65">
        <f>Table5[[#This Row],[Credit Limit]]-Table5[[#This Row],[Available]]</f>
        <v>0</v>
      </c>
      <c r="K20" s="66" t="str">
        <f>IF(Table5[[#This Row],[APR]]*Table5[[#This Row],[Balance]]*0.1&lt;&gt;0, Table5[[#This Row],[APR]]*Table5[[#This Row],[Balance]]*0.1, "")</f>
        <v/>
      </c>
      <c r="L20" s="48">
        <f>IFERROR(Table5[[#This Row],[Balance]]/Table5[[#This Row],[Credit Limit]], )</f>
        <v>0</v>
      </c>
      <c r="M20" s="1" t="b">
        <f>AND(ISTEXT(Table5[[#This Row],[Credit Cards]]), Table5[[#This Row],[Available]]=Table5[[#This Row],[Credit Limit]])</f>
        <v>0</v>
      </c>
    </row>
    <row r="21" spans="2:29" ht="15.95" customHeight="1" x14ac:dyDescent="0.25">
      <c r="B21" s="63"/>
      <c r="C21" s="24"/>
      <c r="D21" s="24"/>
      <c r="F21" s="97"/>
      <c r="G21" s="98"/>
      <c r="H21" s="99"/>
      <c r="I21" s="100"/>
      <c r="J21" s="65">
        <f>Table5[[#This Row],[Credit Limit]]-Table5[[#This Row],[Available]]</f>
        <v>0</v>
      </c>
      <c r="K21" s="66" t="str">
        <f>IF(Table5[[#This Row],[APR]]*Table5[[#This Row],[Balance]]*0.1&lt;&gt;0, Table5[[#This Row],[APR]]*Table5[[#This Row],[Balance]]*0.1, "")</f>
        <v/>
      </c>
      <c r="L21" s="48">
        <f>IFERROR(Table5[[#This Row],[Balance]]/Table5[[#This Row],[Credit Limit]], )</f>
        <v>0</v>
      </c>
      <c r="M21" s="1" t="b">
        <f>AND(ISTEXT(Table5[[#This Row],[Credit Cards]]), Table5[[#This Row],[Available]]=Table5[[#This Row],[Credit Limit]])</f>
        <v>0</v>
      </c>
    </row>
    <row r="22" spans="2:29" ht="15.95" customHeight="1" x14ac:dyDescent="0.25">
      <c r="B22" s="186" t="s">
        <v>17</v>
      </c>
      <c r="C22" s="187"/>
      <c r="D22" s="68">
        <f ca="1">SUM(D20,Bills1[[#Totals],[Amount]],SUMIF('Data Preparation'!AK2:AK9,"&lt;&gt;Y",'Data Preparation'!AL2:AL9))</f>
        <v>2000</v>
      </c>
      <c r="F22" s="97"/>
      <c r="G22" s="98"/>
      <c r="H22" s="99"/>
      <c r="I22" s="100"/>
      <c r="J22" s="65">
        <f>Table5[[#This Row],[Credit Limit]]-Table5[[#This Row],[Available]]</f>
        <v>0</v>
      </c>
      <c r="K22" s="66" t="str">
        <f>IF(Table5[[#This Row],[APR]]*Table5[[#This Row],[Balance]]*0.1&lt;&gt;0, Table5[[#This Row],[APR]]*Table5[[#This Row],[Balance]]*0.1, "")</f>
        <v/>
      </c>
      <c r="L22" s="48">
        <f>IFERROR(Table5[[#This Row],[Balance]]/Table5[[#This Row],[Credit Limit]], )</f>
        <v>0</v>
      </c>
      <c r="M22" s="1" t="b">
        <f>AND(ISTEXT(Table5[[#This Row],[Credit Cards]]), Table5[[#This Row],[Available]]=Table5[[#This Row],[Credit Limit]])</f>
        <v>0</v>
      </c>
    </row>
    <row r="23" spans="2:29" ht="15.95" customHeight="1" x14ac:dyDescent="0.25">
      <c r="B23" s="188" t="s">
        <v>18</v>
      </c>
      <c r="C23" s="189"/>
      <c r="D23" s="69">
        <f ca="1">SUM(D22, Bills2[[#Totals],[Amount]], Bills3[[#Totals],[Amount]],
SUMIF(Income2[Received?], "&lt;&gt;Y", Income2[Amount]),
SUMIF(Income3[Received?], "&lt;&gt;Y", Income3[Amount]))</f>
        <v>3668</v>
      </c>
      <c r="F23" s="97"/>
      <c r="G23" s="98"/>
      <c r="H23" s="99"/>
      <c r="I23" s="100"/>
      <c r="J23" s="65">
        <f>Table5[[#This Row],[Credit Limit]]-Table5[[#This Row],[Available]]</f>
        <v>0</v>
      </c>
      <c r="K23" s="65" t="str">
        <f>IF(Table5[[#This Row],[APR]]*Table5[[#This Row],[Balance]]*0.1&lt;&gt;0, Table5[[#This Row],[APR]]*Table5[[#This Row],[Balance]]*0.1, "")</f>
        <v/>
      </c>
      <c r="L23" s="48">
        <f>IFERROR(Table5[[#This Row],[Balance]]/Table5[[#This Row],[Credit Limit]], )</f>
        <v>0</v>
      </c>
      <c r="M23" s="1" t="b">
        <f>AND(ISTEXT(Table5[[#This Row],[Credit Cards]]), Table5[[#This Row],[Available]]=Table5[[#This Row],[Credit Limit]])</f>
        <v>0</v>
      </c>
      <c r="AC23" s="17"/>
    </row>
    <row r="24" spans="2:29" ht="15.95" customHeight="1" x14ac:dyDescent="0.25">
      <c r="B24" s="62"/>
      <c r="C24" s="4"/>
      <c r="D24" s="4"/>
      <c r="F24" s="101"/>
      <c r="G24" s="98"/>
      <c r="H24" s="99"/>
      <c r="I24" s="100"/>
      <c r="J24" s="65">
        <f>Table5[[#This Row],[Credit Limit]]-Table5[[#This Row],[Available]]</f>
        <v>0</v>
      </c>
      <c r="K24" s="65" t="str">
        <f>IF(Table5[[#This Row],[APR]]*Table5[[#This Row],[Balance]]*0.1&lt;&gt;0, Table5[[#This Row],[APR]]*Table5[[#This Row],[Balance]]*0.1, "")</f>
        <v/>
      </c>
      <c r="L24" s="48">
        <f>IFERROR(Table5[[#This Row],[Balance]]/Table5[[#This Row],[Credit Limit]], )</f>
        <v>0</v>
      </c>
      <c r="M24" s="1" t="b">
        <f>AND(ISTEXT(Table5[[#This Row],[Credit Cards]]), Table5[[#This Row],[Available]]=Table5[[#This Row],[Credit Limit]])</f>
        <v>0</v>
      </c>
    </row>
    <row r="25" spans="2:29" ht="15.95" customHeight="1" x14ac:dyDescent="0.25">
      <c r="B25" s="60" t="s">
        <v>19</v>
      </c>
      <c r="C25" s="56"/>
      <c r="D25" s="70">
        <f>SUM(Income1[Amount], Income2[Amount])</f>
        <v>2000</v>
      </c>
      <c r="F25" s="101"/>
      <c r="G25" s="98"/>
      <c r="H25" s="99"/>
      <c r="I25" s="100"/>
      <c r="J25" s="65">
        <f>Table5[[#This Row],[Credit Limit]]-Table5[[#This Row],[Available]]</f>
        <v>0</v>
      </c>
      <c r="K25" s="66" t="str">
        <f>IF(Table5[[#This Row],[APR]]*Table5[[#This Row],[Balance]]*0.1&lt;&gt;0, Table5[[#This Row],[APR]]*Table5[[#This Row],[Balance]]*0.1, "")</f>
        <v/>
      </c>
      <c r="L25" s="48">
        <f>IFERROR(Table5[[#This Row],[Balance]]/Table5[[#This Row],[Credit Limit]], )</f>
        <v>0</v>
      </c>
      <c r="M25" s="1" t="b">
        <f>AND(ISTEXT(Table5[[#This Row],[Credit Cards]]), Table5[[#This Row],[Available]]=Table5[[#This Row],[Credit Limit]])</f>
        <v>0</v>
      </c>
    </row>
    <row r="26" spans="2:29" ht="15.95" customHeight="1" x14ac:dyDescent="0.25">
      <c r="B26" s="61" t="s">
        <v>20</v>
      </c>
      <c r="C26" s="57"/>
      <c r="D26" s="58">
        <f>-SUM(Bills1[Amount], Bills2[Amount], Bills3[Amount])</f>
        <v>-1432</v>
      </c>
      <c r="F26" s="101"/>
      <c r="G26" s="98"/>
      <c r="H26" s="99"/>
      <c r="I26" s="100"/>
      <c r="J26" s="65">
        <f>Table5[[#This Row],[Credit Limit]]-Table5[[#This Row],[Available]]</f>
        <v>0</v>
      </c>
      <c r="K26" s="66" t="str">
        <f>IF(Table5[[#This Row],[APR]]*Table5[[#This Row],[Balance]]*0.1&lt;&gt;0, Table5[[#This Row],[APR]]*Table5[[#This Row],[Balance]]*0.1, "")</f>
        <v/>
      </c>
      <c r="L26" s="48">
        <f>IFERROR(Table5[[#This Row],[Balance]]/Table5[[#This Row],[Credit Limit]], )</f>
        <v>0</v>
      </c>
      <c r="M26" s="1" t="b">
        <f>AND(ISTEXT(Table5[[#This Row],[Credit Cards]]), Table5[[#This Row],[Available]]=Table5[[#This Row],[Credit Limit]])</f>
        <v>0</v>
      </c>
    </row>
    <row r="27" spans="2:29" ht="15.95" customHeight="1" x14ac:dyDescent="0.25">
      <c r="B27" s="62" t="s">
        <v>21</v>
      </c>
      <c r="C27" s="59"/>
      <c r="D27" s="90">
        <f>SUM(D25:D26)</f>
        <v>568</v>
      </c>
      <c r="F27" s="101"/>
      <c r="G27" s="98"/>
      <c r="H27" s="99"/>
      <c r="I27" s="100"/>
      <c r="J27" s="65">
        <f>Table5[[#This Row],[Credit Limit]]-Table5[[#This Row],[Available]]</f>
        <v>0</v>
      </c>
      <c r="K27" s="66" t="str">
        <f>IF(Table5[[#This Row],[APR]]*Table5[[#This Row],[Balance]]*0.1&lt;&gt;0, Table5[[#This Row],[APR]]*Table5[[#This Row],[Balance]]*0.1, "")</f>
        <v/>
      </c>
      <c r="L27" s="48">
        <f>IFERROR(Table5[[#This Row],[Balance]]/Table5[[#This Row],[Credit Limit]], )</f>
        <v>0</v>
      </c>
      <c r="M27" s="1" t="b">
        <f>AND(ISTEXT(Table5[[#This Row],[Credit Cards]]), Table5[[#This Row],[Available]]=Table5[[#This Row],[Credit Limit]])</f>
        <v>0</v>
      </c>
    </row>
    <row r="28" spans="2:29" ht="15.95" customHeight="1" x14ac:dyDescent="0.25">
      <c r="F28" s="101"/>
      <c r="G28" s="98"/>
      <c r="H28" s="99"/>
      <c r="I28" s="100"/>
      <c r="J28" s="65">
        <f>Table5[[#This Row],[Credit Limit]]-Table5[[#This Row],[Available]]</f>
        <v>0</v>
      </c>
      <c r="K28" s="65" t="str">
        <f>IF(Table5[[#This Row],[APR]]*Table5[[#This Row],[Balance]]*0.1&lt;&gt;0, Table5[[#This Row],[APR]]*Table5[[#This Row],[Balance]]*0.1, "")</f>
        <v/>
      </c>
      <c r="L28" s="48">
        <f>IFERROR(Table5[[#This Row],[Balance]]/Table5[[#This Row],[Credit Limit]], )</f>
        <v>0</v>
      </c>
      <c r="M28" s="1" t="b">
        <f>AND(ISTEXT(Table5[[#This Row],[Credit Cards]]), Table5[[#This Row],[Available]]=Table5[[#This Row],[Credit Limit]])</f>
        <v>0</v>
      </c>
    </row>
    <row r="29" spans="2:29" ht="15.95" customHeight="1" x14ac:dyDescent="0.25">
      <c r="F29" s="101"/>
      <c r="G29" s="158"/>
      <c r="H29" s="102"/>
      <c r="I29" s="103"/>
      <c r="J29" s="67">
        <f>Table5[[#This Row],[Credit Limit]]-Table5[[#This Row],[Available]]</f>
        <v>0</v>
      </c>
      <c r="K29" s="67" t="str">
        <f>IF(Table5[[#This Row],[APR]]*Table5[[#This Row],[Balance]]*0.1&lt;&gt;0, Table5[[#This Row],[APR]]*Table5[[#This Row],[Balance]]*0.1, "")</f>
        <v/>
      </c>
      <c r="L29" s="49">
        <f>IFERROR(Table5[[#This Row],[Balance]]/Table5[[#This Row],[Credit Limit]], )</f>
        <v>0</v>
      </c>
      <c r="M29" s="4" t="b">
        <f>AND(ISTEXT(Table5[[#This Row],[Credit Cards]]), Table5[[#This Row],[Available]]=Table5[[#This Row],[Credit Limit]])</f>
        <v>0</v>
      </c>
    </row>
    <row r="30" spans="2:29" ht="15.95" customHeight="1" x14ac:dyDescent="0.25">
      <c r="F30" s="14" t="s">
        <v>28</v>
      </c>
      <c r="G30" s="15"/>
      <c r="H30" s="51">
        <f>SUBTOTAL(109,Table5[Credit Limit])</f>
        <v>0</v>
      </c>
      <c r="I30" s="16"/>
      <c r="J30" s="50">
        <f>SUBTOTAL(109,Table5[Balance])</f>
        <v>0</v>
      </c>
      <c r="K30" s="50">
        <f>SUBTOTAL(109,Table5[Interest])</f>
        <v>0</v>
      </c>
      <c r="M30" s="47"/>
    </row>
    <row r="31" spans="2:29" ht="15.95" customHeight="1" x14ac:dyDescent="0.25">
      <c r="J31" s="185">
        <f>IF(Table5[[#Totals],[Balance]]=0, 0, IFERROR(Table5[[#Totals],[Balance]]/D27, ""))</f>
        <v>0</v>
      </c>
      <c r="K31" s="185"/>
      <c r="L31" s="185"/>
    </row>
  </sheetData>
  <sheetProtection sheet="1" objects="1" scenarios="1" selectLockedCells="1"/>
  <dataConsolidate/>
  <mergeCells count="4">
    <mergeCell ref="J31:L31"/>
    <mergeCell ref="B22:C22"/>
    <mergeCell ref="B23:C23"/>
    <mergeCell ref="J2:K2"/>
  </mergeCells>
  <phoneticPr fontId="2" type="noConversion"/>
  <conditionalFormatting sqref="K18:K29">
    <cfRule type="colorScale" priority="17">
      <colorScale>
        <cfvo type="num" val="0"/>
        <cfvo type="percentile" val="90"/>
        <cfvo type="max"/>
        <color theme="0"/>
        <color rgb="FFFFD1D2"/>
        <color rgb="FFFF8F8F"/>
      </colorScale>
    </cfRule>
  </conditionalFormatting>
  <conditionalFormatting sqref="D22:D23">
    <cfRule type="cellIs" dxfId="3" priority="10" operator="lessThan">
      <formula>0</formula>
    </cfRule>
  </conditionalFormatting>
  <conditionalFormatting sqref="F18:I29">
    <cfRule type="expression" dxfId="2" priority="25">
      <formula>$M18</formula>
    </cfRule>
  </conditionalFormatting>
  <pageMargins left="0.7" right="0.7" top="0.75" bottom="0.75" header="0.3" footer="0.3"/>
  <pageSetup orientation="portrait" horizontalDpi="1200" verticalDpi="120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E1C63503-8EDF-444C-9C9E-DA5BA89BE367}">
          <x14:formula1>
            <xm:f>'Data Preparation'!$AC$2:$AC$184</xm:f>
          </x14:formula1>
          <xm:sqref>L2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F1D4F-33A8-43BA-B720-75E03C15F1B2}">
  <sheetPr codeName="Sheet3">
    <tabColor theme="4"/>
  </sheetPr>
  <dimension ref="A1:V36"/>
  <sheetViews>
    <sheetView showGridLines="0" zoomScale="85" zoomScaleNormal="85" workbookViewId="0">
      <selection activeCell="E30" sqref="E30"/>
    </sheetView>
  </sheetViews>
  <sheetFormatPr defaultRowHeight="15" x14ac:dyDescent="0.25"/>
  <cols>
    <col min="1" max="1" width="2.625" style="1" customWidth="1"/>
    <col min="2" max="2" width="15.625" style="1" customWidth="1"/>
    <col min="3" max="4" width="10.625" style="1" customWidth="1"/>
    <col min="5" max="5" width="15.625" style="1" customWidth="1"/>
    <col min="6" max="6" width="9" style="1" customWidth="1"/>
    <col min="7" max="7" width="9" style="1"/>
    <col min="8" max="8" width="6.625" style="1" customWidth="1"/>
    <col min="9" max="9" width="2.625" style="1" customWidth="1"/>
    <col min="10" max="10" width="15.625" style="1" customWidth="1"/>
    <col min="11" max="11" width="9" style="1" customWidth="1"/>
    <col min="12" max="12" width="9" style="1"/>
    <col min="13" max="14" width="10.625" style="1" customWidth="1"/>
    <col min="15" max="15" width="6.625" style="1" customWidth="1"/>
    <col min="16" max="16" width="2.625" style="1" customWidth="1"/>
    <col min="17" max="17" width="15.625" style="1" customWidth="1"/>
    <col min="18" max="18" width="9" style="1" customWidth="1"/>
    <col min="19" max="19" width="9.875" style="1" bestFit="1" customWidth="1"/>
    <col min="20" max="21" width="10.625" style="1" customWidth="1"/>
    <col min="22" max="16384" width="9" style="1"/>
  </cols>
  <sheetData>
    <row r="1" spans="1:22" ht="16.5" thickBot="1" x14ac:dyDescent="0.3">
      <c r="E1" s="153" t="s">
        <v>7</v>
      </c>
      <c r="F1" s="3" t="s">
        <v>44</v>
      </c>
      <c r="G1" s="12" t="s">
        <v>8</v>
      </c>
    </row>
    <row r="2" spans="1:22" ht="15" customHeight="1" x14ac:dyDescent="0.25">
      <c r="B2" s="191" t="s">
        <v>54</v>
      </c>
      <c r="C2" s="191"/>
      <c r="D2" s="191"/>
      <c r="E2" s="119" t="s">
        <v>49</v>
      </c>
      <c r="F2" s="154">
        <v>43771</v>
      </c>
      <c r="G2" s="120">
        <v>1000</v>
      </c>
    </row>
    <row r="3" spans="1:22" x14ac:dyDescent="0.25">
      <c r="B3" s="192"/>
      <c r="C3" s="192"/>
      <c r="D3" s="192"/>
      <c r="E3" s="119"/>
      <c r="F3" s="154"/>
      <c r="G3" s="120"/>
    </row>
    <row r="4" spans="1:22" x14ac:dyDescent="0.25">
      <c r="B4" s="192"/>
      <c r="C4" s="192"/>
      <c r="D4" s="192"/>
      <c r="E4" s="119"/>
      <c r="F4" s="154"/>
      <c r="G4" s="121"/>
    </row>
    <row r="5" spans="1:22" x14ac:dyDescent="0.25">
      <c r="B5" s="192"/>
      <c r="C5" s="192"/>
      <c r="D5" s="192"/>
      <c r="E5" s="119"/>
      <c r="F5" s="154"/>
      <c r="G5" s="121"/>
      <c r="H5" s="36"/>
      <c r="K5" s="37"/>
      <c r="L5" s="37"/>
      <c r="M5" s="37"/>
      <c r="N5" s="37"/>
      <c r="O5" s="37"/>
      <c r="R5" s="37"/>
      <c r="S5" s="37"/>
      <c r="T5" s="37"/>
    </row>
    <row r="6" spans="1:22" x14ac:dyDescent="0.25">
      <c r="A6" s="5" t="b">
        <f>OR(A7:A10)</f>
        <v>0</v>
      </c>
      <c r="B6" s="192"/>
      <c r="C6" s="192"/>
      <c r="D6" s="192"/>
      <c r="E6" s="122"/>
      <c r="F6" s="154"/>
      <c r="G6" s="121"/>
    </row>
    <row r="7" spans="1:22" x14ac:dyDescent="0.25">
      <c r="A7" s="5" t="b">
        <f>ISTEXT(Income[[#This Row],[Income]])</f>
        <v>0</v>
      </c>
      <c r="B7" s="192"/>
      <c r="C7" s="192"/>
      <c r="D7" s="192"/>
      <c r="E7" s="122"/>
      <c r="F7" s="154"/>
      <c r="G7" s="121"/>
    </row>
    <row r="8" spans="1:22" x14ac:dyDescent="0.25">
      <c r="A8" s="5" t="b">
        <f>ISTEXT(Income[[#This Row],[Income]])</f>
        <v>0</v>
      </c>
      <c r="B8" s="192"/>
      <c r="C8" s="192"/>
      <c r="D8" s="192"/>
      <c r="E8" s="122"/>
      <c r="F8" s="154"/>
      <c r="G8" s="121"/>
      <c r="R8" s="36"/>
    </row>
    <row r="9" spans="1:22" x14ac:dyDescent="0.25">
      <c r="A9" s="5" t="b">
        <f>ISTEXT(Income[[#This Row],[Income]])</f>
        <v>0</v>
      </c>
      <c r="B9" s="192"/>
      <c r="C9" s="192"/>
      <c r="D9" s="192"/>
      <c r="E9" s="122"/>
      <c r="F9" s="154"/>
      <c r="G9" s="121"/>
      <c r="R9" s="36"/>
    </row>
    <row r="10" spans="1:22" x14ac:dyDescent="0.25">
      <c r="A10" s="5" t="b">
        <f>ISTEXT(Income[[#This Row],[Income]])</f>
        <v>0</v>
      </c>
      <c r="R10" s="36"/>
    </row>
    <row r="11" spans="1:22" x14ac:dyDescent="0.25">
      <c r="E11" s="86" t="s">
        <v>48</v>
      </c>
      <c r="J11" s="85" t="s">
        <v>26</v>
      </c>
      <c r="Q11" s="86" t="s">
        <v>27</v>
      </c>
    </row>
    <row r="12" spans="1:22" ht="15" customHeight="1" thickBot="1" x14ac:dyDescent="0.3">
      <c r="E12" s="153" t="s">
        <v>11</v>
      </c>
      <c r="F12" s="3" t="s">
        <v>9</v>
      </c>
      <c r="G12" s="80" t="s">
        <v>8</v>
      </c>
      <c r="H12" s="3" t="s">
        <v>12</v>
      </c>
      <c r="J12" s="153" t="s">
        <v>11</v>
      </c>
      <c r="K12" s="79" t="s">
        <v>55</v>
      </c>
      <c r="L12" s="2" t="s">
        <v>10</v>
      </c>
      <c r="M12" s="3" t="s">
        <v>9</v>
      </c>
      <c r="N12" s="80" t="s">
        <v>8</v>
      </c>
      <c r="O12" s="3" t="s">
        <v>12</v>
      </c>
      <c r="Q12" s="153" t="s">
        <v>11</v>
      </c>
      <c r="R12" s="79" t="s">
        <v>55</v>
      </c>
      <c r="S12" s="2" t="s">
        <v>10</v>
      </c>
      <c r="T12" s="3" t="s">
        <v>9</v>
      </c>
      <c r="U12" s="80" t="s">
        <v>8</v>
      </c>
      <c r="V12" s="3" t="s">
        <v>12</v>
      </c>
    </row>
    <row r="13" spans="1:22" ht="15.75" customHeight="1" x14ac:dyDescent="0.25">
      <c r="B13" s="191" t="s">
        <v>99</v>
      </c>
      <c r="C13" s="191"/>
      <c r="D13" s="191"/>
      <c r="E13" s="109" t="s">
        <v>47</v>
      </c>
      <c r="F13" s="116" t="s">
        <v>43</v>
      </c>
      <c r="G13" s="107">
        <v>260</v>
      </c>
      <c r="H13" s="44">
        <f>IFERROR(-Bills3[[#This Row],[Amount]]/Dashboard!D$26, )</f>
        <v>0.18156424581005587</v>
      </c>
      <c r="J13" s="109" t="s">
        <v>50</v>
      </c>
      <c r="K13" s="155">
        <v>1</v>
      </c>
      <c r="L13" s="115" t="s">
        <v>43</v>
      </c>
      <c r="M13" s="8" t="str">
        <f ca="1">IF(AND(DAY(TODAY())&gt;Bills1[[#This Row],[Date &lt;d&gt;]]-1,Bills1[[#This Row],[Date &lt;d&gt;]]&lt;&gt;0, Bills1[[#This Row],[Auto?]]="Y"), "Y",)</f>
        <v>Y</v>
      </c>
      <c r="N13" s="107">
        <v>600</v>
      </c>
      <c r="O13" s="44">
        <f>IFERROR(-Bills1[[#This Row],[Amount]]/Dashboard!D$26, )</f>
        <v>0.41899441340782123</v>
      </c>
      <c r="Q13" s="109" t="s">
        <v>51</v>
      </c>
      <c r="R13" s="155">
        <v>15</v>
      </c>
      <c r="S13" s="110" t="s">
        <v>43</v>
      </c>
      <c r="T13" s="8">
        <f ca="1">IF(AND(DAY(TODAY())&gt;Bills2[[#This Row],[Date &lt;d&gt;]]-1,Bills2[[#This Row],[Date &lt;d&gt;]]&lt;&gt;0, Bills2[[#This Row],[Auto?]]="Y"), "Y",)</f>
        <v>0</v>
      </c>
      <c r="U13" s="107">
        <v>212</v>
      </c>
      <c r="V13" s="44">
        <f>IFERROR(-Bills2[[#This Row],[Amount]]/Dashboard!D$26, )</f>
        <v>0.14804469273743018</v>
      </c>
    </row>
    <row r="14" spans="1:22" x14ac:dyDescent="0.25">
      <c r="B14" s="192"/>
      <c r="C14" s="192"/>
      <c r="D14" s="192"/>
      <c r="E14" s="109" t="s">
        <v>52</v>
      </c>
      <c r="F14" s="116"/>
      <c r="G14" s="107">
        <v>120</v>
      </c>
      <c r="H14" s="44">
        <f>IFERROR(-Bills3[[#This Row],[Amount]]/Dashboard!D$26, )</f>
        <v>8.3798882681564241E-2</v>
      </c>
      <c r="J14" s="109"/>
      <c r="K14" s="155"/>
      <c r="L14" s="115"/>
      <c r="M14" s="8">
        <f ca="1">IF(AND(DAY(TODAY())&gt;Bills1[[#This Row],[Date &lt;d&gt;]]-1,Bills1[[#This Row],[Date &lt;d&gt;]]&lt;&gt;0, Bills1[[#This Row],[Auto?]]="Y"), "Y",)</f>
        <v>0</v>
      </c>
      <c r="N14" s="107"/>
      <c r="O14" s="45">
        <f>IFERROR(-Bills1[[#This Row],[Amount]]/Dashboard!D$26, )</f>
        <v>0</v>
      </c>
      <c r="Q14" s="109"/>
      <c r="R14" s="155"/>
      <c r="S14" s="110"/>
      <c r="T14" s="8">
        <f ca="1">IF(AND(DAY(TODAY())&gt;Bills2[[#This Row],[Date &lt;d&gt;]]-1,Bills2[[#This Row],[Date &lt;d&gt;]]&lt;&gt;0, Bills2[[#This Row],[Auto?]]="Y"), "Y",)</f>
        <v>0</v>
      </c>
      <c r="U14" s="107"/>
      <c r="V14" s="44">
        <f>IFERROR(-Bills2[[#This Row],[Amount]]/Dashboard!D$26, )</f>
        <v>0</v>
      </c>
    </row>
    <row r="15" spans="1:22" x14ac:dyDescent="0.25">
      <c r="B15" s="192"/>
      <c r="C15" s="192"/>
      <c r="D15" s="192"/>
      <c r="E15" s="109" t="s">
        <v>53</v>
      </c>
      <c r="F15" s="116" t="s">
        <v>43</v>
      </c>
      <c r="G15" s="107">
        <v>240</v>
      </c>
      <c r="H15" s="44">
        <f>IFERROR(-Bills3[[#This Row],[Amount]]/Dashboard!D$26, )</f>
        <v>0.16759776536312848</v>
      </c>
      <c r="J15" s="109"/>
      <c r="K15" s="155"/>
      <c r="L15" s="115"/>
      <c r="M15" s="8">
        <f ca="1">IF(AND(DAY(TODAY())&gt;Bills1[[#This Row],[Date &lt;d&gt;]]-1,Bills1[[#This Row],[Date &lt;d&gt;]]&lt;&gt;0, Bills1[[#This Row],[Auto?]]="Y"), "Y",)</f>
        <v>0</v>
      </c>
      <c r="N15" s="107"/>
      <c r="O15" s="44">
        <f>IFERROR(-Bills1[[#This Row],[Amount]]/Dashboard!D$26, )</f>
        <v>0</v>
      </c>
      <c r="Q15" s="109"/>
      <c r="R15" s="156"/>
      <c r="S15" s="110"/>
      <c r="T15" s="8"/>
      <c r="U15" s="107"/>
      <c r="V15" s="44">
        <f>IFERROR(-Bills2[[#This Row],[Amount]]/Dashboard!D$26, )</f>
        <v>0</v>
      </c>
    </row>
    <row r="16" spans="1:22" x14ac:dyDescent="0.25">
      <c r="B16" s="192"/>
      <c r="C16" s="192"/>
      <c r="D16" s="192"/>
      <c r="E16" s="109"/>
      <c r="F16" s="116"/>
      <c r="G16" s="107"/>
      <c r="H16" s="44">
        <f>IFERROR(-Bills3[[#This Row],[Amount]]/Dashboard!D$26, )</f>
        <v>0</v>
      </c>
      <c r="J16" s="109"/>
      <c r="K16" s="155"/>
      <c r="L16" s="115"/>
      <c r="M16" s="8">
        <f ca="1">IF(AND(DAY(TODAY())&gt;Bills1[[#This Row],[Date &lt;d&gt;]]-1,Bills1[[#This Row],[Date &lt;d&gt;]]&lt;&gt;0, Bills1[[#This Row],[Auto?]]="Y"), "Y",)</f>
        <v>0</v>
      </c>
      <c r="N16" s="107"/>
      <c r="O16" s="44">
        <f>IFERROR(-Bills1[[#This Row],[Amount]]/Dashboard!D$26, )</f>
        <v>0</v>
      </c>
      <c r="Q16" s="109"/>
      <c r="R16" s="155"/>
      <c r="S16" s="110"/>
      <c r="T16" s="8">
        <f ca="1">IF(AND(DAY(TODAY())&gt;DAY(Bills2[[#This Row],[Date &lt;d&gt;]])-1,DAY(Bills2[[#This Row],[Date &lt;d&gt;]])&lt;&gt;0, Bills2[[#This Row],[Auto?]]="Y"), "Y",)</f>
        <v>0</v>
      </c>
      <c r="U16" s="107"/>
      <c r="V16" s="44">
        <f>IFERROR(-Bills2[[#This Row],[Amount]]/Dashboard!D$26, )</f>
        <v>0</v>
      </c>
    </row>
    <row r="17" spans="2:22" x14ac:dyDescent="0.25">
      <c r="B17" s="192"/>
      <c r="C17" s="192"/>
      <c r="D17" s="192"/>
      <c r="E17" s="109"/>
      <c r="F17" s="116"/>
      <c r="G17" s="107"/>
      <c r="H17" s="44">
        <f>IFERROR(-Bills3[[#This Row],[Amount]]/Dashboard!D$26, )</f>
        <v>0</v>
      </c>
      <c r="J17" s="109"/>
      <c r="K17" s="155"/>
      <c r="L17" s="115"/>
      <c r="M17" s="8">
        <f ca="1">IF(AND(DAY(TODAY())&gt;Bills1[[#This Row],[Date &lt;d&gt;]]-1,Bills1[[#This Row],[Date &lt;d&gt;]]&lt;&gt;0, Bills1[[#This Row],[Auto?]]="Y"), "Y",)</f>
        <v>0</v>
      </c>
      <c r="N17" s="107"/>
      <c r="O17" s="44">
        <f>IFERROR(-Bills1[[#This Row],[Amount]]/Dashboard!D$26, )</f>
        <v>0</v>
      </c>
      <c r="Q17" s="109"/>
      <c r="R17" s="155"/>
      <c r="S17" s="110"/>
      <c r="T17" s="8">
        <f ca="1">IF(AND(DAY(TODAY())&gt;Bills2[[#This Row],[Date &lt;d&gt;]]-1,Bills2[[#This Row],[Date &lt;d&gt;]]&lt;&gt;0, Bills2[[#This Row],[Auto?]]="Y"), "Y",)</f>
        <v>0</v>
      </c>
      <c r="U17" s="107"/>
      <c r="V17" s="44">
        <f>IFERROR(-Bills2[[#This Row],[Amount]]/Dashboard!D$26, )</f>
        <v>0</v>
      </c>
    </row>
    <row r="18" spans="2:22" x14ac:dyDescent="0.25">
      <c r="B18" s="192"/>
      <c r="C18" s="192"/>
      <c r="D18" s="192"/>
      <c r="E18" s="109"/>
      <c r="F18" s="116"/>
      <c r="G18" s="107"/>
      <c r="H18" s="44">
        <f>IFERROR(-Bills3[[#This Row],[Amount]]/Dashboard!D$26, )</f>
        <v>0</v>
      </c>
      <c r="J18" s="109"/>
      <c r="K18" s="155"/>
      <c r="L18" s="115"/>
      <c r="M18" s="8">
        <f ca="1">IF(AND(DAY(TODAY())&gt;Bills1[[#This Row],[Date &lt;d&gt;]]-1,Bills1[[#This Row],[Date &lt;d&gt;]]&lt;&gt;0, Bills1[[#This Row],[Auto?]]="Y"), "Y",)</f>
        <v>0</v>
      </c>
      <c r="N18" s="107"/>
      <c r="O18" s="44">
        <f>IFERROR(-Bills1[[#This Row],[Amount]]/Dashboard!D$26, )</f>
        <v>0</v>
      </c>
      <c r="Q18" s="109"/>
      <c r="R18" s="155"/>
      <c r="S18" s="110"/>
      <c r="T18" s="8">
        <f ca="1">IF(AND(DAY(TODAY())&gt;Bills2[[#This Row],[Date &lt;d&gt;]]-1,Bills2[[#This Row],[Date &lt;d&gt;]]&lt;&gt;0, Bills2[[#This Row],[Auto?]]="Y"), "Y",)</f>
        <v>0</v>
      </c>
      <c r="U18" s="107"/>
      <c r="V18" s="44">
        <f>IFERROR(-Bills2[[#This Row],[Amount]]/Dashboard!D$26, )</f>
        <v>0</v>
      </c>
    </row>
    <row r="19" spans="2:22" x14ac:dyDescent="0.25">
      <c r="B19" s="192"/>
      <c r="C19" s="192"/>
      <c r="D19" s="192"/>
      <c r="E19" s="109"/>
      <c r="F19" s="116"/>
      <c r="G19" s="107"/>
      <c r="H19" s="44">
        <f>IFERROR(-Bills3[[#This Row],[Amount]]/Dashboard!D$26, )</f>
        <v>0</v>
      </c>
      <c r="J19" s="109"/>
      <c r="K19" s="155"/>
      <c r="L19" s="115"/>
      <c r="M19" s="8">
        <f ca="1">IF(AND(DAY(TODAY())&gt;Bills1[[#This Row],[Date &lt;d&gt;]]-1,Bills1[[#This Row],[Date &lt;d&gt;]]&lt;&gt;0, Bills1[[#This Row],[Auto?]]="Y"), "Y",)</f>
        <v>0</v>
      </c>
      <c r="N19" s="107"/>
      <c r="O19" s="44">
        <f>IFERROR(-Bills1[[#This Row],[Amount]]/Dashboard!D$26, )</f>
        <v>0</v>
      </c>
      <c r="Q19" s="111"/>
      <c r="R19" s="157"/>
      <c r="S19" s="112"/>
      <c r="T19" s="8">
        <f ca="1">IF(AND(DAY(TODAY())&gt;Bills2[[#This Row],[Date &lt;d&gt;]]-1,Bills2[[#This Row],[Date &lt;d&gt;]]&lt;&gt;0, Bills2[[#This Row],[Auto?]]="Y"), "Y",)</f>
        <v>0</v>
      </c>
      <c r="U19" s="108"/>
      <c r="V19" s="44">
        <f>IFERROR(-Bills2[[#This Row],[Amount]]/Dashboard!D$26, )</f>
        <v>0</v>
      </c>
    </row>
    <row r="20" spans="2:22" x14ac:dyDescent="0.25">
      <c r="B20" s="192"/>
      <c r="C20" s="192"/>
      <c r="D20" s="192"/>
      <c r="E20" s="109"/>
      <c r="F20" s="116"/>
      <c r="G20" s="107"/>
      <c r="H20" s="44">
        <f>IFERROR(-Bills3[[#This Row],[Amount]]/Dashboard!D$26, )</f>
        <v>0</v>
      </c>
      <c r="J20" s="109"/>
      <c r="K20" s="155"/>
      <c r="L20" s="115"/>
      <c r="M20" s="8">
        <f ca="1">IF(AND(DAY(TODAY())&gt;Bills1[[#This Row],[Date &lt;d&gt;]]-1,Bills1[[#This Row],[Date &lt;d&gt;]]&lt;&gt;0, Bills1[[#This Row],[Auto?]]="Y"), "Y",)</f>
        <v>0</v>
      </c>
      <c r="N20" s="107"/>
      <c r="O20" s="44">
        <f>IFERROR(-Bills1[[#This Row],[Amount]]/Dashboard!D$26, )</f>
        <v>0</v>
      </c>
      <c r="Q20" s="109"/>
      <c r="R20" s="155"/>
      <c r="S20" s="110"/>
      <c r="T20" s="8">
        <f ca="1">IF(AND(DAY(TODAY())&gt;Bills2[[#This Row],[Date &lt;d&gt;]]-1,Bills2[[#This Row],[Date &lt;d&gt;]]&lt;&gt;0, Bills2[[#This Row],[Auto?]]="Y"), "Y",)</f>
        <v>0</v>
      </c>
      <c r="U20" s="107"/>
      <c r="V20" s="44">
        <f>IFERROR(-Bills2[[#This Row],[Amount]]/Dashboard!D$26, )</f>
        <v>0</v>
      </c>
    </row>
    <row r="21" spans="2:22" x14ac:dyDescent="0.25">
      <c r="B21" s="192"/>
      <c r="C21" s="192"/>
      <c r="D21" s="192"/>
      <c r="E21" s="109"/>
      <c r="F21" s="116"/>
      <c r="G21" s="107"/>
      <c r="H21" s="44">
        <f>IFERROR(-Bills3[[#This Row],[Amount]]/Dashboard!D$26, )</f>
        <v>0</v>
      </c>
      <c r="J21" s="109"/>
      <c r="K21" s="155"/>
      <c r="L21" s="115"/>
      <c r="M21" s="8">
        <f ca="1">IF(AND(DAY(TODAY())&gt;Bills1[[#This Row],[Date &lt;d&gt;]]-1,Bills1[[#This Row],[Date &lt;d&gt;]]&lt;&gt;0, Bills1[[#This Row],[Auto?]]="Y"), "Y",)</f>
        <v>0</v>
      </c>
      <c r="N21" s="107"/>
      <c r="O21" s="44">
        <f>IFERROR(-Bills1[[#This Row],[Amount]]/Dashboard!D$26, )</f>
        <v>0</v>
      </c>
      <c r="Q21" s="109"/>
      <c r="R21" s="155"/>
      <c r="S21" s="110"/>
      <c r="T21" s="8">
        <f ca="1">IF(AND(DAY(TODAY())&gt;Bills2[[#This Row],[Date &lt;d&gt;]]-1,Bills2[[#This Row],[Date &lt;d&gt;]]&lt;&gt;0, Bills2[[#This Row],[Auto?]]="Y"), "Y",)</f>
        <v>0</v>
      </c>
      <c r="U21" s="107"/>
      <c r="V21" s="44">
        <f>IFERROR(-Bills2[[#This Row],[Amount]]/Dashboard!D$26, )</f>
        <v>0</v>
      </c>
    </row>
    <row r="22" spans="2:22" x14ac:dyDescent="0.25">
      <c r="B22" s="192"/>
      <c r="C22" s="192"/>
      <c r="D22" s="192"/>
      <c r="E22" s="109"/>
      <c r="F22" s="116"/>
      <c r="G22" s="107"/>
      <c r="H22" s="44">
        <f>IFERROR(-Bills3[[#This Row],[Amount]]/Dashboard!D$26, )</f>
        <v>0</v>
      </c>
      <c r="J22" s="109"/>
      <c r="K22" s="155"/>
      <c r="L22" s="115"/>
      <c r="M22" s="8">
        <f ca="1">IF(AND(DAY(TODAY())&gt;Bills1[[#This Row],[Date &lt;d&gt;]]-1,Bills1[[#This Row],[Date &lt;d&gt;]]&lt;&gt;0, Bills1[[#This Row],[Auto?]]="Y"), "Y",)</f>
        <v>0</v>
      </c>
      <c r="N22" s="107"/>
      <c r="O22" s="44">
        <f>IFERROR(-Bills1[[#This Row],[Amount]]/Dashboard!D$26, )</f>
        <v>0</v>
      </c>
      <c r="Q22" s="109"/>
      <c r="R22" s="155"/>
      <c r="S22" s="110"/>
      <c r="T22" s="8">
        <f ca="1">IF(AND(DAY(TODAY())&gt;Bills2[[#This Row],[Date &lt;d&gt;]]-1,Bills2[[#This Row],[Date &lt;d&gt;]]&lt;&gt;0, Bills2[[#This Row],[Auto?]]="Y"), "Y",)</f>
        <v>0</v>
      </c>
      <c r="U22" s="107"/>
      <c r="V22" s="44">
        <f>IFERROR(-Bills2[[#This Row],[Amount]]/Dashboard!D$26, )</f>
        <v>0</v>
      </c>
    </row>
    <row r="23" spans="2:22" x14ac:dyDescent="0.25">
      <c r="B23" s="192"/>
      <c r="C23" s="192"/>
      <c r="D23" s="192"/>
      <c r="E23" s="109"/>
      <c r="F23" s="116"/>
      <c r="G23" s="107"/>
      <c r="H23" s="44">
        <f>IFERROR(-Bills3[[#This Row],[Amount]]/Dashboard!D$26, )</f>
        <v>0</v>
      </c>
      <c r="J23" s="109"/>
      <c r="K23" s="155"/>
      <c r="L23" s="115"/>
      <c r="M23" s="8">
        <f ca="1">IF(AND(DAY(TODAY())&gt;Bills1[[#This Row],[Date &lt;d&gt;]]-1,Bills1[[#This Row],[Date &lt;d&gt;]]&lt;&gt;0, Bills1[[#This Row],[Auto?]]="Y"), "Y",)</f>
        <v>0</v>
      </c>
      <c r="N23" s="107"/>
      <c r="O23" s="44">
        <f>IFERROR(-Bills1[[#This Row],[Amount]]/Dashboard!D$26, )</f>
        <v>0</v>
      </c>
      <c r="Q23" s="109"/>
      <c r="R23" s="155"/>
      <c r="S23" s="110"/>
      <c r="T23" s="8">
        <f ca="1">IF(AND(DAY(TODAY())&gt;Bills2[[#This Row],[Date &lt;d&gt;]]-1,Bills2[[#This Row],[Date &lt;d&gt;]]&lt;&gt;0, Bills2[[#This Row],[Auto?]]="Y"), "Y",)</f>
        <v>0</v>
      </c>
      <c r="U23" s="107"/>
      <c r="V23" s="44">
        <f>IFERROR(-Bills2[[#This Row],[Amount]]/Dashboard!D$26, )</f>
        <v>0</v>
      </c>
    </row>
    <row r="24" spans="2:22" x14ac:dyDescent="0.25">
      <c r="B24" s="192"/>
      <c r="C24" s="192"/>
      <c r="D24" s="192"/>
      <c r="E24" s="111"/>
      <c r="F24" s="116"/>
      <c r="G24" s="108"/>
      <c r="H24" s="46">
        <f>IFERROR(-Bills3[[#This Row],[Amount]]/Dashboard!D$26, )</f>
        <v>0</v>
      </c>
      <c r="J24" s="109"/>
      <c r="K24" s="155"/>
      <c r="L24" s="115"/>
      <c r="M24" s="8">
        <f ca="1">IF(AND(DAY(TODAY())&gt;Bills1[[#This Row],[Date &lt;d&gt;]]-1,Bills1[[#This Row],[Date &lt;d&gt;]]&lt;&gt;0, Bills1[[#This Row],[Auto?]]="Y"), "Y",)</f>
        <v>0</v>
      </c>
      <c r="N24" s="107"/>
      <c r="O24" s="44">
        <f>IFERROR(-Bills1[[#This Row],[Amount]]/Dashboard!D$26, )</f>
        <v>0</v>
      </c>
      <c r="Q24" s="111"/>
      <c r="R24" s="157"/>
      <c r="S24" s="112"/>
      <c r="T24" s="8">
        <f ca="1">IF(AND(DAY(TODAY())&gt;Bills2[[#This Row],[Date &lt;d&gt;]]-1,Bills2[[#This Row],[Date &lt;d&gt;]]&lt;&gt;0, Bills2[[#This Row],[Auto?]]="Y"), "Y",)</f>
        <v>0</v>
      </c>
      <c r="U24" s="108"/>
      <c r="V24" s="46">
        <f>IFERROR(-Bills2[[#This Row],[Amount]]/Dashboard!D$26, )</f>
        <v>0</v>
      </c>
    </row>
    <row r="25" spans="2:22" x14ac:dyDescent="0.25">
      <c r="D25" s="152"/>
      <c r="E25" s="111"/>
      <c r="F25" s="116"/>
      <c r="G25" s="108"/>
      <c r="H25" s="46">
        <f>IFERROR(-Bills3[[#This Row],[Amount]]/Dashboard!D$26, )</f>
        <v>0</v>
      </c>
      <c r="J25" s="109"/>
      <c r="K25" s="155"/>
      <c r="L25" s="115"/>
      <c r="M25" s="8">
        <f ca="1">IF(AND(DAY(TODAY())&gt;Bills1[[#This Row],[Date &lt;d&gt;]]-1,Bills1[[#This Row],[Date &lt;d&gt;]]&lt;&gt;0, Bills1[[#This Row],[Auto?]]="Y"), "Y",)</f>
        <v>0</v>
      </c>
      <c r="N25" s="107"/>
      <c r="O25" s="44">
        <f>IFERROR(-Bills1[[#This Row],[Amount]]/Dashboard!D$26, )</f>
        <v>0</v>
      </c>
      <c r="Q25" s="111"/>
      <c r="R25" s="157"/>
      <c r="S25" s="112"/>
      <c r="T25" s="8">
        <f ca="1">IF(AND(DAY(TODAY())&gt;Bills2[[#This Row],[Date &lt;d&gt;]]-1,Bills2[[#This Row],[Date &lt;d&gt;]]&lt;&gt;0, Bills2[[#This Row],[Auto?]]="Y"), "Y",)</f>
        <v>0</v>
      </c>
      <c r="U25" s="108"/>
      <c r="V25" s="46">
        <f>IFERROR(-Bills2[[#This Row],[Amount]]/Dashboard!D$26, )</f>
        <v>0</v>
      </c>
    </row>
    <row r="26" spans="2:22" x14ac:dyDescent="0.25">
      <c r="D26" s="152"/>
      <c r="E26" s="111"/>
      <c r="F26" s="116"/>
      <c r="G26" s="108"/>
      <c r="H26" s="46">
        <f>IFERROR(-Bills3[[#This Row],[Amount]]/Dashboard!D$26, )</f>
        <v>0</v>
      </c>
      <c r="J26" s="109"/>
      <c r="K26" s="155"/>
      <c r="L26" s="115"/>
      <c r="M26" s="8">
        <f ca="1">IF(AND(DAY(TODAY())&gt;Bills1[[#This Row],[Date &lt;d&gt;]]-1,Bills1[[#This Row],[Date &lt;d&gt;]]&lt;&gt;0, Bills1[[#This Row],[Auto?]]="Y"), "Y",)</f>
        <v>0</v>
      </c>
      <c r="N26" s="107"/>
      <c r="O26" s="44">
        <f>IFERROR(-Bills1[[#This Row],[Amount]]/Dashboard!D$26, )</f>
        <v>0</v>
      </c>
      <c r="Q26" s="111"/>
      <c r="R26" s="157"/>
      <c r="S26" s="112"/>
      <c r="T26" s="8">
        <f ca="1">IF(AND(DAY(TODAY())&gt;Bills2[[#This Row],[Date &lt;d&gt;]]-1,Bills2[[#This Row],[Date &lt;d&gt;]]&lt;&gt;0, Bills2[[#This Row],[Auto?]]="Y"), "Y",)</f>
        <v>0</v>
      </c>
      <c r="U26" s="108"/>
      <c r="V26" s="46">
        <f>IFERROR(-Bills2[[#This Row],[Amount]]/Dashboard!D$26, )</f>
        <v>0</v>
      </c>
    </row>
    <row r="27" spans="2:22" x14ac:dyDescent="0.25">
      <c r="D27" s="152"/>
      <c r="E27" s="111"/>
      <c r="F27" s="116"/>
      <c r="G27" s="108"/>
      <c r="H27" s="95">
        <f>IFERROR(-Bills3[[#This Row],[Amount]]/Dashboard!D$26, )</f>
        <v>0</v>
      </c>
      <c r="J27" s="109"/>
      <c r="K27" s="155"/>
      <c r="L27" s="115"/>
      <c r="M27" s="8">
        <f ca="1">IF(AND(DAY(TODAY())&gt;Bills1[[#This Row],[Date &lt;d&gt;]]-1,Bills1[[#This Row],[Date &lt;d&gt;]]&lt;&gt;0, Bills1[[#This Row],[Auto?]]="Y"), "Y",)</f>
        <v>0</v>
      </c>
      <c r="N27" s="107"/>
      <c r="O27" s="44">
        <f>IFERROR(-Bills1[[#This Row],[Amount]]/Dashboard!D$26, )</f>
        <v>0</v>
      </c>
      <c r="Q27" s="111"/>
      <c r="R27" s="157"/>
      <c r="S27" s="112"/>
      <c r="T27" s="8">
        <f ca="1">IF(AND(DAY(TODAY())&gt;Bills2[[#This Row],[Date &lt;d&gt;]]-1,Bills2[[#This Row],[Date &lt;d&gt;]]&lt;&gt;0, Bills2[[#This Row],[Auto?]]="Y"), "Y",)</f>
        <v>0</v>
      </c>
      <c r="U27" s="108"/>
      <c r="V27" s="46">
        <f>IFERROR(-Bills2[[#This Row],[Amount]]/Dashboard!D$26, )</f>
        <v>0</v>
      </c>
    </row>
    <row r="28" spans="2:22" x14ac:dyDescent="0.25">
      <c r="D28" s="152"/>
      <c r="E28" s="117"/>
      <c r="F28" s="116"/>
      <c r="G28" s="118"/>
      <c r="H28" s="96">
        <f>IFERROR(-Bills3[[#This Row],[Amount]]/Dashboard!D$26, )</f>
        <v>0</v>
      </c>
      <c r="J28" s="109"/>
      <c r="K28" s="155"/>
      <c r="L28" s="110"/>
      <c r="M28" s="94">
        <f ca="1">IF(AND(DAY(TODAY())&gt;Bills1[[#This Row],[Date &lt;d&gt;]]-1,Bills1[[#This Row],[Date &lt;d&gt;]]&lt;&gt;0, Bills1[[#This Row],[Auto?]]="Y"), "Y",)</f>
        <v>0</v>
      </c>
      <c r="N28" s="108"/>
      <c r="O28" s="95">
        <f>IFERROR(-Bills1[[#This Row],[Amount]]/Dashboard!D$26, )</f>
        <v>0</v>
      </c>
      <c r="Q28" s="111"/>
      <c r="R28" s="157"/>
      <c r="S28" s="112"/>
      <c r="U28" s="108"/>
      <c r="V28" s="46">
        <f>IFERROR(-Bills2[[#This Row],[Amount]]/Dashboard!D$26, )</f>
        <v>0</v>
      </c>
    </row>
    <row r="29" spans="2:22" x14ac:dyDescent="0.25">
      <c r="E29" s="117"/>
      <c r="F29" s="116"/>
      <c r="G29" s="118"/>
      <c r="H29" s="96">
        <f>IFERROR(-Bills3[[#This Row],[Amount]]/Dashboard!D$26, )</f>
        <v>0</v>
      </c>
      <c r="J29" s="111"/>
      <c r="K29" s="113"/>
      <c r="L29" s="114"/>
      <c r="M29" s="94">
        <f ca="1">IF(AND(DAY(TODAY())&gt;Bills1[[#This Row],[Date &lt;d&gt;]]-1,Bills1[[#This Row],[Date &lt;d&gt;]]&lt;&gt;0, Bills1[[#This Row],[Auto?]]="Y"), "Y",)</f>
        <v>0</v>
      </c>
      <c r="N29" s="108"/>
      <c r="O29" s="95">
        <f>IFERROR(-Bills1[[#This Row],[Amount]]/Dashboard!D$26, )</f>
        <v>0</v>
      </c>
      <c r="Q29" s="111"/>
      <c r="R29" s="157"/>
      <c r="S29" s="112"/>
      <c r="U29" s="108"/>
      <c r="V29" s="46">
        <f>IFERROR(-Bills2[[#This Row],[Amount]]/Dashboard!D$26, )</f>
        <v>0</v>
      </c>
    </row>
    <row r="30" spans="2:22" x14ac:dyDescent="0.25">
      <c r="E30" s="117"/>
      <c r="F30" s="116"/>
      <c r="G30" s="118"/>
      <c r="H30" s="96">
        <f>IFERROR(-Bills3[[#This Row],[Amount]]/Dashboard!D$26, )</f>
        <v>0</v>
      </c>
      <c r="J30" s="111"/>
      <c r="K30" s="113"/>
      <c r="L30" s="114"/>
      <c r="M30" s="94">
        <f ca="1">IF(AND(DAY(TODAY())&gt;Bills1[[#This Row],[Date &lt;d&gt;]]-1,Bills1[[#This Row],[Date &lt;d&gt;]]&lt;&gt;0, Bills1[[#This Row],[Auto?]]="Y"), "Y",)</f>
        <v>0</v>
      </c>
      <c r="N30" s="108"/>
      <c r="O30" s="95">
        <f>IFERROR(-Bills1[[#This Row],[Amount]]/Dashboard!D$26, )</f>
        <v>0</v>
      </c>
      <c r="Q30" s="111"/>
      <c r="R30" s="157"/>
      <c r="S30" s="112"/>
      <c r="U30" s="108"/>
      <c r="V30" s="46">
        <f>IFERROR(-Bills2[[#This Row],[Amount]]/Dashboard!D$26, )</f>
        <v>0</v>
      </c>
    </row>
    <row r="31" spans="2:22" x14ac:dyDescent="0.25">
      <c r="E31" s="117"/>
      <c r="F31" s="116"/>
      <c r="G31" s="118"/>
      <c r="H31" s="96">
        <f>IFERROR(-Bills3[[#This Row],[Amount]]/Dashboard!D$26, )</f>
        <v>0</v>
      </c>
      <c r="J31" s="111"/>
      <c r="K31" s="113"/>
      <c r="L31" s="114"/>
      <c r="M31" s="94">
        <f ca="1">IF(AND(DAY(TODAY())&gt;Bills1[[#This Row],[Date &lt;d&gt;]]-1,Bills1[[#This Row],[Date &lt;d&gt;]]&lt;&gt;0, Bills1[[#This Row],[Auto?]]="Y"), "Y",)</f>
        <v>0</v>
      </c>
      <c r="N31" s="108"/>
      <c r="O31" s="95">
        <f>IFERROR(-Bills1[[#This Row],[Amount]]/Dashboard!D$26, )</f>
        <v>0</v>
      </c>
      <c r="Q31" s="111"/>
      <c r="R31" s="157"/>
      <c r="S31" s="112"/>
      <c r="U31" s="108"/>
      <c r="V31" s="46">
        <f>IFERROR(-Bills2[[#This Row],[Amount]]/Dashboard!D$26, )</f>
        <v>0</v>
      </c>
    </row>
    <row r="32" spans="2:22" x14ac:dyDescent="0.25">
      <c r="E32" s="117"/>
      <c r="F32" s="116"/>
      <c r="G32" s="118"/>
      <c r="H32" s="96">
        <f>IFERROR(-Bills3[[#This Row],[Amount]]/Dashboard!D$26, )</f>
        <v>0</v>
      </c>
      <c r="J32" s="111"/>
      <c r="K32" s="113"/>
      <c r="L32" s="114"/>
      <c r="M32" s="94">
        <f ca="1">IF(AND(DAY(TODAY())&gt;Bills1[[#This Row],[Date &lt;d&gt;]]-1,Bills1[[#This Row],[Date &lt;d&gt;]]&lt;&gt;0, Bills1[[#This Row],[Auto?]]="Y"), "Y",)</f>
        <v>0</v>
      </c>
      <c r="N32" s="108"/>
      <c r="O32" s="95">
        <f>IFERROR(-Bills1[[#This Row],[Amount]]/Dashboard!D$26, )</f>
        <v>0</v>
      </c>
      <c r="Q32" s="111"/>
      <c r="R32" s="157"/>
      <c r="S32" s="112"/>
      <c r="U32" s="108"/>
      <c r="V32" s="46">
        <f>IFERROR(-Bills2[[#This Row],[Amount]]/Dashboard!D$26, )</f>
        <v>0</v>
      </c>
    </row>
    <row r="33" spans="5:22" x14ac:dyDescent="0.25">
      <c r="E33" s="117"/>
      <c r="F33" s="116"/>
      <c r="G33" s="118"/>
      <c r="H33" s="96">
        <f>IFERROR(-Bills3[[#This Row],[Amount]]/Dashboard!D$26, )</f>
        <v>0</v>
      </c>
      <c r="J33" s="111"/>
      <c r="K33" s="113"/>
      <c r="L33" s="114"/>
      <c r="M33" s="94">
        <f ca="1">IF(AND(DAY(TODAY())&gt;Bills1[[#This Row],[Date &lt;d&gt;]]-1,Bills1[[#This Row],[Date &lt;d&gt;]]&lt;&gt;0, Bills1[[#This Row],[Auto?]]="Y"), "Y",)</f>
        <v>0</v>
      </c>
      <c r="N33" s="108"/>
      <c r="O33" s="95">
        <f>IFERROR(-Bills1[[#This Row],[Amount]]/Dashboard!D$26, )</f>
        <v>0</v>
      </c>
      <c r="Q33" s="111"/>
      <c r="R33" s="157"/>
      <c r="S33" s="112"/>
      <c r="U33" s="108"/>
      <c r="V33" s="46">
        <f>IFERROR(-Bills2[[#This Row],[Amount]]/Dashboard!D$26, )</f>
        <v>0</v>
      </c>
    </row>
    <row r="34" spans="5:22" x14ac:dyDescent="0.25">
      <c r="E34" s="117"/>
      <c r="F34" s="116"/>
      <c r="G34" s="118"/>
      <c r="H34" s="96">
        <f>IFERROR(-Bills3[[#This Row],[Amount]]/Dashboard!D$26, )</f>
        <v>0</v>
      </c>
      <c r="J34" s="111"/>
      <c r="K34" s="113"/>
      <c r="L34" s="114"/>
      <c r="M34" s="94">
        <f ca="1">IF(AND(DAY(TODAY())&gt;Bills1[[#This Row],[Date &lt;d&gt;]]-1,Bills1[[#This Row],[Date &lt;d&gt;]]&lt;&gt;0, Bills1[[#This Row],[Auto?]]="Y"), "Y",)</f>
        <v>0</v>
      </c>
      <c r="N34" s="108"/>
      <c r="O34" s="95">
        <f>IFERROR(-Bills1[[#This Row],[Amount]]/Dashboard!D$26, )</f>
        <v>0</v>
      </c>
      <c r="Q34" s="111"/>
      <c r="R34" s="157"/>
      <c r="S34" s="112"/>
      <c r="U34" s="108"/>
      <c r="V34" s="46">
        <f>IFERROR(-Bills2[[#This Row],[Amount]]/Dashboard!D$26, )</f>
        <v>0</v>
      </c>
    </row>
    <row r="35" spans="5:22" x14ac:dyDescent="0.25">
      <c r="E35" s="117"/>
      <c r="F35" s="116"/>
      <c r="G35" s="118"/>
      <c r="H35" s="96">
        <f>IFERROR(-Bills3[[#This Row],[Amount]]/Dashboard!D$26, )</f>
        <v>0</v>
      </c>
      <c r="J35" s="111"/>
      <c r="K35" s="113"/>
      <c r="L35" s="114"/>
      <c r="M35" s="94">
        <f ca="1">IF(AND(DAY(TODAY())&gt;Bills1[[#This Row],[Date &lt;d&gt;]]-1,Bills1[[#This Row],[Date &lt;d&gt;]]&lt;&gt;0, Bills1[[#This Row],[Auto?]]="Y"), "Y",)</f>
        <v>0</v>
      </c>
      <c r="N35" s="108"/>
      <c r="O35" s="95">
        <f>IFERROR(-Bills1[[#This Row],[Amount]]/Dashboard!D$26, )</f>
        <v>0</v>
      </c>
      <c r="Q35" s="111"/>
      <c r="R35" s="113"/>
      <c r="S35" s="114"/>
      <c r="T35" s="94">
        <f ca="1">IF(AND(DAY(TODAY())&gt;Bills1[[#This Row],[Date &lt;d&gt;]]-1,Bills1[[#This Row],[Date &lt;d&gt;]]&lt;&gt;0, Bills1[[#This Row],[Auto?]]="Y"), "Y",)</f>
        <v>0</v>
      </c>
      <c r="U35" s="108"/>
      <c r="V35" s="46">
        <f>IFERROR(-Bills2[[#This Row],[Amount]]/Dashboard!D$26, )</f>
        <v>0</v>
      </c>
    </row>
    <row r="36" spans="5:22" x14ac:dyDescent="0.25">
      <c r="E36" s="19" t="s">
        <v>42</v>
      </c>
      <c r="F36" s="4"/>
      <c r="G36" s="11">
        <f>-SUMIF(Bills3[Paid?], "&lt;&gt;Y", Bills3[Amount])</f>
        <v>-120</v>
      </c>
      <c r="H36" s="5">
        <f>SUM(Bills1[Amount],Bills3[Amount])</f>
        <v>1220</v>
      </c>
      <c r="J36" s="19" t="s">
        <v>13</v>
      </c>
      <c r="K36" s="4"/>
      <c r="L36" s="4"/>
      <c r="M36" s="4"/>
      <c r="N36" s="11">
        <f ca="1">-SUMIF(Bills1[Paid?], "&lt;&gt;Y", Bills1[Amount])</f>
        <v>0</v>
      </c>
      <c r="Q36" s="19" t="s">
        <v>25</v>
      </c>
      <c r="R36" s="4"/>
      <c r="S36" s="4"/>
      <c r="T36" s="4"/>
      <c r="U36" s="11">
        <f ca="1">-SUMIF(Bills2[Paid?], "&lt;&gt;Y", Bills2[Amount])</f>
        <v>-212</v>
      </c>
      <c r="V36" s="5">
        <f>SUM(Bills1[Amount],Bills2[Amount])</f>
        <v>812</v>
      </c>
    </row>
  </sheetData>
  <sheetProtection sheet="1" objects="1" scenarios="1" selectLockedCells="1"/>
  <mergeCells count="2">
    <mergeCell ref="B13:D24"/>
    <mergeCell ref="B2:D9"/>
  </mergeCells>
  <phoneticPr fontId="2" type="noConversion"/>
  <dataValidations count="5">
    <dataValidation type="date" allowBlank="1" showInputMessage="1" showErrorMessage="1" sqref="F2:F9" xr:uid="{D60D5EB9-5540-4BFB-B42A-26527B5302EC}">
      <formula1>1</formula1>
      <formula2>TODAY()</formula2>
    </dataValidation>
    <dataValidation type="whole" allowBlank="1" showInputMessage="1" showErrorMessage="1" sqref="K28" xr:uid="{35727113-91F0-4436-B90C-17F70F8A9F2D}">
      <formula1>1</formula1>
      <formula2>31</formula2>
    </dataValidation>
    <dataValidation type="whole" allowBlank="1" showInputMessage="1" showErrorMessage="1" sqref="K13:K27 K29:K35" xr:uid="{13A5B1C4-F866-4183-8FE3-13E49458A65F}">
      <formula1>1</formula1>
      <formula2>14</formula2>
    </dataValidation>
    <dataValidation type="whole" allowBlank="1" showInputMessage="1" showErrorMessage="1" sqref="R13:R35" xr:uid="{60698FAB-6E42-4229-99DA-753300773827}">
      <formula1>15</formula1>
      <formula2>31</formula2>
    </dataValidation>
    <dataValidation type="textLength" operator="equal" allowBlank="1" showInputMessage="1" showErrorMessage="1" sqref="L13:L35 S13:S35 F13:F35" xr:uid="{7B00C05B-3324-4E49-AA62-24BAB11E84B4}">
      <formula1>1</formula1>
    </dataValidation>
  </dataValidations>
  <pageMargins left="0.7" right="0.7" top="0.75" bottom="0.75" header="0.3" footer="0.3"/>
  <pageSetup orientation="portrait" horizontalDpi="1200" verticalDpi="1200"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3FD7C-BD01-4E23-A3B0-CA95D9156AC0}">
  <sheetPr codeName="Sheet4"/>
  <dimension ref="A1:AZ220"/>
  <sheetViews>
    <sheetView showGridLines="0" topLeftCell="B1" zoomScaleNormal="100" workbookViewId="0">
      <pane ySplit="1" topLeftCell="A32" activePane="bottomLeft" state="frozen"/>
      <selection activeCell="T1" sqref="T1"/>
      <selection pane="bottomLeft" activeCell="E54" sqref="E54"/>
    </sheetView>
  </sheetViews>
  <sheetFormatPr defaultRowHeight="15" x14ac:dyDescent="0.25"/>
  <cols>
    <col min="1" max="1" width="7.875" style="1" customWidth="1"/>
    <col min="2" max="2" width="11.25" style="1" bestFit="1" customWidth="1"/>
    <col min="3" max="3" width="2.625" style="1" customWidth="1"/>
    <col min="4" max="4" width="7.875" style="1" customWidth="1"/>
    <col min="5" max="5" width="11.25" style="1" bestFit="1" customWidth="1"/>
    <col min="6" max="6" width="2.625" style="1" customWidth="1"/>
    <col min="7" max="7" width="7.875" style="1" bestFit="1" customWidth="1"/>
    <col min="8" max="8" width="11.25" style="1" bestFit="1" customWidth="1"/>
    <col min="9" max="9" width="2.625" style="1" customWidth="1"/>
    <col min="10" max="10" width="9.625" style="1" customWidth="1"/>
    <col min="11" max="11" width="11.25" style="1" bestFit="1" customWidth="1"/>
    <col min="12" max="12" width="2.625" style="1" customWidth="1"/>
    <col min="13" max="13" width="9.625" style="1" bestFit="1" customWidth="1"/>
    <col min="14" max="14" width="11.25" style="1" bestFit="1" customWidth="1"/>
    <col min="15" max="15" width="2.625" style="1" customWidth="1"/>
    <col min="16" max="16" width="9.625" style="1" bestFit="1" customWidth="1"/>
    <col min="17" max="17" width="11.25" style="1" bestFit="1" customWidth="1"/>
    <col min="18" max="18" width="2.625" style="1" customWidth="1"/>
    <col min="19" max="19" width="9.875" style="1" bestFit="1" customWidth="1"/>
    <col min="20" max="20" width="11.25" style="1" bestFit="1" customWidth="1"/>
    <col min="21" max="21" width="2.625" style="1" customWidth="1"/>
    <col min="22" max="23" width="7.25" style="1" bestFit="1" customWidth="1"/>
    <col min="24" max="24" width="11.25" style="1" bestFit="1" customWidth="1"/>
    <col min="25" max="25" width="2.625" style="1" customWidth="1"/>
    <col min="26" max="26" width="10.75" style="148" bestFit="1" customWidth="1"/>
    <col min="27" max="27" width="10.625" style="148" customWidth="1"/>
    <col min="28" max="28" width="9" style="150" customWidth="1"/>
    <col min="29" max="29" width="9" style="1" customWidth="1"/>
    <col min="30" max="30" width="11.25" style="1" bestFit="1" customWidth="1"/>
    <col min="31" max="33" width="13.625" style="1" customWidth="1"/>
    <col min="34" max="34" width="2.625" style="1" customWidth="1"/>
    <col min="35" max="36" width="10.75" style="1" bestFit="1" customWidth="1"/>
    <col min="37" max="37" width="10.875" style="1" bestFit="1" customWidth="1"/>
    <col min="38" max="38" width="12" style="1" bestFit="1" customWidth="1"/>
    <col min="39" max="39" width="2.625" style="1" customWidth="1"/>
    <col min="40" max="40" width="9.625" style="1" bestFit="1" customWidth="1"/>
    <col min="41" max="41" width="9.125" style="1" bestFit="1" customWidth="1"/>
    <col min="42" max="42" width="9" style="1"/>
    <col min="43" max="43" width="9.125" style="1" bestFit="1" customWidth="1"/>
    <col min="44" max="44" width="2.625" style="1" customWidth="1"/>
    <col min="45" max="48" width="9" style="1"/>
    <col min="49" max="49" width="2.625" style="1" customWidth="1"/>
    <col min="50" max="51" width="9.125" style="1" bestFit="1" customWidth="1"/>
    <col min="52" max="52" width="9.875" style="1" bestFit="1" customWidth="1"/>
    <col min="53" max="16384" width="9" style="1"/>
  </cols>
  <sheetData>
    <row r="1" spans="1:52" s="3" customFormat="1" x14ac:dyDescent="0.25">
      <c r="A1" s="3" t="s">
        <v>30</v>
      </c>
      <c r="B1" s="3" t="s">
        <v>31</v>
      </c>
      <c r="D1" s="3" t="s">
        <v>30</v>
      </c>
      <c r="E1" s="3" t="s">
        <v>31</v>
      </c>
      <c r="G1" s="3" t="s">
        <v>30</v>
      </c>
      <c r="H1" s="3" t="s">
        <v>31</v>
      </c>
      <c r="J1" s="3" t="s">
        <v>30</v>
      </c>
      <c r="K1" s="3" t="s">
        <v>31</v>
      </c>
      <c r="M1" s="3" t="s">
        <v>30</v>
      </c>
      <c r="N1" s="3" t="s">
        <v>31</v>
      </c>
      <c r="P1" s="3" t="s">
        <v>30</v>
      </c>
      <c r="Q1" s="3" t="s">
        <v>31</v>
      </c>
      <c r="S1" s="3" t="s">
        <v>30</v>
      </c>
      <c r="T1" s="3" t="s">
        <v>31</v>
      </c>
      <c r="V1" s="123" t="s">
        <v>30</v>
      </c>
      <c r="W1" s="124" t="s">
        <v>32</v>
      </c>
      <c r="X1" s="125" t="s">
        <v>36</v>
      </c>
      <c r="Z1" s="126" t="s">
        <v>35</v>
      </c>
      <c r="AA1" s="126" t="s">
        <v>38</v>
      </c>
      <c r="AB1" s="127" t="s">
        <v>39</v>
      </c>
      <c r="AC1" s="128" t="s">
        <v>30</v>
      </c>
      <c r="AD1" s="128" t="s">
        <v>45</v>
      </c>
      <c r="AE1" s="127" t="s">
        <v>33</v>
      </c>
      <c r="AF1" s="127" t="s">
        <v>34</v>
      </c>
      <c r="AG1" s="127" t="s">
        <v>37</v>
      </c>
      <c r="AI1" s="10" t="s">
        <v>7</v>
      </c>
      <c r="AJ1" s="81" t="s">
        <v>24</v>
      </c>
      <c r="AK1" s="10" t="s">
        <v>5</v>
      </c>
      <c r="AL1" s="82" t="s">
        <v>8</v>
      </c>
      <c r="AM1" s="10"/>
      <c r="AN1" s="10" t="s">
        <v>7</v>
      </c>
      <c r="AO1" s="81" t="s">
        <v>24</v>
      </c>
      <c r="AP1" s="10" t="s">
        <v>5</v>
      </c>
      <c r="AQ1" s="83" t="s">
        <v>8</v>
      </c>
      <c r="AS1" s="10" t="s">
        <v>41</v>
      </c>
      <c r="AT1" s="81" t="s">
        <v>24</v>
      </c>
      <c r="AU1" s="10" t="s">
        <v>5</v>
      </c>
      <c r="AV1" s="83" t="s">
        <v>8</v>
      </c>
      <c r="AX1" s="3" t="s">
        <v>30</v>
      </c>
      <c r="AY1" s="3" t="s">
        <v>46</v>
      </c>
      <c r="AZ1" s="3" t="s">
        <v>36</v>
      </c>
    </row>
    <row r="2" spans="1:52" x14ac:dyDescent="0.25">
      <c r="A2" s="129" t="str">
        <f ca="1">IF(ISNUMBER(bills_curr_mo[[#This Row],[bills]]), IFERROR(MONTH(TODAY())&amp;"/"&amp;INDEX(Bills1[Date &lt;d&gt;], ROWS(B$1:$B1)), IFERROR(MONTH(TODAY())&amp;"/"&amp;INDEX(DAY(Bills2[Date &lt;d&gt;]), (ROWS(B$1:$B1)-ROWS(Bills1[Date &lt;d&gt;]))), "")), "")</f>
        <v>11/1</v>
      </c>
      <c r="B2" s="130">
        <f>IF(IFERROR(INDEX(Bills1[Amount],ROWS($B$1:$B1)),IFERROR(INDEX(Bills2[Amount],(ROWS($B$1:$B1)-ROWS(Bills1[Amount]))),))&gt;0,-IFERROR(INDEX(Bills1[Amount],ROWS($B$1:$B1)),IFERROR(INDEX(Bills2[Amount],(ROWS($B$1:$B1)-ROWS(Bills1[Amount]))),)), "")</f>
        <v>-600</v>
      </c>
      <c r="D2" s="129" t="str">
        <f ca="1">IF(ISNUMBER(bills_curr_plus1[[#This Row],[bills]]), IF(OR(MONTH($A$2)=12, YEAR($A$2)=YEAR(TODAY())+1), IFERROR(MONTH($A$2+32)&amp;"/"&amp;INDEX(Bills1[Date &lt;d&gt;], ROWS($B$1:$B1))&amp;"/"&amp;$C$51, IFERROR(MONTH($A$2+32)&amp;"/"&amp;INDEX(DAY(Bills2[Date &lt;d&gt;]), (ROWS($B$1:$B1)-ROWS(Bills1[Date &lt;d&gt;])))&amp;"/"&amp;$C$51, "")), IFERROR(MONTH($A$2+32)&amp;"/"&amp;INDEX(Bills1[Date &lt;d&gt;], ROWS($B$1:$B1)), IFERROR(MONTH($A$2+32)&amp;"/"&amp;INDEX(DAY(Bills2[Date &lt;d&gt;]), (ROWS($B$1:$B1)-ROWS(Bills1[Date &lt;d&gt;]))), ""))), "")</f>
        <v>12/1</v>
      </c>
      <c r="E2" s="130">
        <f>IF(IFERROR(INDEX(Bills1[Amount],ROWS($B$1:$B1)),IFERROR(INDEX(Bills2[Amount],(ROWS($B$1:$B1)-ROWS(Bills1[Amount]))),))&gt;0,-IFERROR(INDEX(Bills1[Amount],ROWS($B$1:$B1)),IFERROR(INDEX(Bills2[Amount],(ROWS($B$1:$B1)-ROWS(Bills1[Amount]))),)), "")</f>
        <v>-600</v>
      </c>
      <c r="F2" s="131"/>
      <c r="G2" s="129" t="str">
        <f ca="1">IF(ISNUMBER(bills_curr_plus2[[#This Row],[bills]]), IF(OR(MONTH($D$2)=12, YEAR($D$2)=YEAR(TODAY())+1), IFERROR(MONTH($D$2+32)&amp;"/"&amp;INDEX(Bills1[Date &lt;d&gt;], ROWS($B$1:$B1))&amp;"/"&amp;$C$51, IFERROR(MONTH($D$2+32)&amp;"/"&amp;INDEX(DAY(Bills2[Date &lt;d&gt;]), (ROWS($B$1:$B1)-ROWS(Bills1[Date &lt;d&gt;])))&amp;"/"&amp;$C$51, "")), IFERROR(MONTH($D$2+32)&amp;"/"&amp;INDEX(Bills1[Date &lt;d&gt;], ROWS($B$1:$B1)), IFERROR(MONTH($D$2+32)&amp;"/"&amp;INDEX(DAY(Bills2[Date &lt;d&gt;]), (ROWS($B$1:$B1)-ROWS(Bills1[Date &lt;d&gt;]))), ""))), "")</f>
        <v>1/1/2020</v>
      </c>
      <c r="H2" s="130">
        <f>IF(IFERROR(INDEX(Bills1[Amount],ROWS($B$1:$B1)),IFERROR(INDEX(Bills2[Amount],(ROWS($B$1:$B1)-ROWS(Bills1[Amount]))),))&gt;0,-IFERROR(INDEX(Bills1[Amount],ROWS($B$1:$B1)),IFERROR(INDEX(Bills2[Amount],(ROWS($B$1:$B1)-ROWS(Bills1[Amount]))),)), "")</f>
        <v>-600</v>
      </c>
      <c r="I2" s="131"/>
      <c r="J2" s="129" t="str">
        <f ca="1">IF(ISNUMBER(bills_curr_plus3[[#This Row],[bills]]), IF(OR(MONTH($G$2)=12, YEAR($G$2)=YEAR(TODAY())+1), IFERROR(MONTH($G$2+32)&amp;"/"&amp;INDEX(Bills1[Date &lt;d&gt;], ROWS($B$1:$B1))&amp;"/"&amp;$C$51, IFERROR(MONTH($G$2+32)&amp;"/"&amp;INDEX(DAY(Bills2[Date &lt;d&gt;]), (ROWS($B$1:$B1)-ROWS(Bills1[Date &lt;d&gt;])))&amp;"/"&amp;$C$51, "")), IFERROR(MONTH($G$2+32)&amp;"/"&amp;INDEX(Bills1[Date &lt;d&gt;], ROWS($B$1:$B1)), IFERROR(MONTH($G$2+32)&amp;"/"&amp;INDEX(DAY(Bills2[Date &lt;d&gt;]), (ROWS($B$1:$B1)-ROWS(Bills1[Date &lt;d&gt;]))), ""))), "")</f>
        <v>2/1/2020</v>
      </c>
      <c r="K2" s="130">
        <f>IF(IFERROR(INDEX(Bills1[Amount],ROWS($B$1:$B1)),IFERROR(INDEX(Bills2[Amount],(ROWS($B$1:$B1)-ROWS(Bills1[Amount]))),))&gt;0,-IFERROR(INDEX(Bills1[Amount],ROWS($B$1:$B1)),IFERROR(INDEX(Bills2[Amount],(ROWS($B$1:$B1)-ROWS(Bills1[Amount]))),)), "")</f>
        <v>-600</v>
      </c>
      <c r="L2" s="131"/>
      <c r="M2" s="129" t="str">
        <f ca="1">IF(ISNUMBER(bills_curr_plus4[[#This Row],[bills]]), IF(OR(MONTH($J$2)=12, YEAR($J$2)=YEAR(TODAY())+1), IFERROR(MONTH($J$2+32)&amp;"/"&amp;INDEX(Bills1[Date &lt;d&gt;], ROWS($B$1:$B1))&amp;"/"&amp;$C$51, IFERROR(MONTH($J$2+32)&amp;"/"&amp;INDEX(DAY(Bills2[Date &lt;d&gt;]), (ROWS($B$1:$B1)-ROWS(Bills1[Date &lt;d&gt;])))&amp;"/"&amp;$C$51, "")), IFERROR(MONTH($J$2+32)&amp;"/"&amp;INDEX(Bills1[Date &lt;d&gt;], ROWS($B$1:$B1)), IFERROR(MONTH($J$2+32)&amp;"/"&amp;INDEX(DAY(Bills2[Date &lt;d&gt;]), (ROWS($B$1:$B1)-ROWS(Bills1[Date &lt;d&gt;]))), ""))), "")</f>
        <v>3/1/2020</v>
      </c>
      <c r="N2" s="130">
        <f>IF(IFERROR(INDEX(Bills1[Amount],ROWS($B$1:$B1)),IFERROR(INDEX(Bills2[Amount],(ROWS($B$1:$B1)-ROWS(Bills1[Amount]))),))&gt;0,-IFERROR(INDEX(Bills1[Amount],ROWS($B$1:$B1)),IFERROR(INDEX(Bills2[Amount],(ROWS($B$1:$B1)-ROWS(Bills1[Amount]))),)), "")</f>
        <v>-600</v>
      </c>
      <c r="O2" s="131"/>
      <c r="P2" s="129" t="str">
        <f ca="1">IF(ISNUMBER(bills_curr_plus5[[#This Row],[bills]]), IF(OR(MONTH($M$2)=12, YEAR($M$2)=YEAR(TODAY())+1), IFERROR(MONTH($M$2+32)&amp;"/"&amp;INDEX(Bills1[Date &lt;d&gt;], ROWS($B$1:$B1))&amp;"/"&amp;$C$51, IFERROR(MONTH($M$2+32)&amp;"/"&amp;INDEX(DAY(Bills2[Date &lt;d&gt;]), (ROWS($B$1:$B1)-ROWS(Bills1[Date &lt;d&gt;])))&amp;"/"&amp;$C$51, "")), IFERROR(MONTH($M$2+32)&amp;"/"&amp;INDEX(Bills1[Date &lt;d&gt;], ROWS($B$1:$B1)), IFERROR(MONTH($M$2+32)&amp;"/"&amp;INDEX(DAY(Bills2[Date &lt;d&gt;]), (ROWS($B$1:$B1)-ROWS(Bills1[Date &lt;d&gt;]))), ""))), "")</f>
        <v>4/1/2020</v>
      </c>
      <c r="Q2" s="130">
        <f>IF(IFERROR(INDEX(Bills1[Amount],ROWS($B$1:$B1)),IFERROR(INDEX(Bills2[Amount],(ROWS($B$1:$B1)-ROWS(Bills1[Amount]))),))&gt;0,-IFERROR(INDEX(Bills1[Amount],ROWS($B$1:$B1)),IFERROR(INDEX(Bills2[Amount],(ROWS($B$1:$B1)-ROWS(Bills1[Amount]))),)), "")</f>
        <v>-600</v>
      </c>
      <c r="R2" s="130"/>
      <c r="S2" s="129" t="str">
        <f ca="1">IF(ISNUMBER(bills_curr_plus6[[#This Row],[bills]]),
IF(OR(MONTH($P$2)=12, YEAR($P$2)=YEAR(TODAY())+1),
IFERROR(MONTH($P$2+32)&amp;"/"&amp;INDEX(Bills1[Date &lt;d&gt;], ROWS($B$1:$B1))&amp;"/"&amp;$C$51,
IFERROR(MONTH($P$2+32)&amp;"/"&amp;INDEX(DAY(Bills2[Date &lt;d&gt;]), (ROWS($B$1:$B1)-ROWS(Bills1[Date &lt;d&gt;])))&amp;"/"&amp;$C$51, "")),
IFERROR(MONTH($P$2+32)&amp;"/"&amp;INDEX(Bills1[Date &lt;d&gt;], ROWS($B$1:$B1)),
IFERROR(MONTH($P$2+32)&amp;"/"&amp;INDEX(DAY(Bills2[Date &lt;d&gt;]), (ROWS($B$1:$B1)-ROWS(Bills1[Date &lt;d&gt;]))), ""))), "")</f>
        <v>5/1/2020</v>
      </c>
      <c r="T2" s="130">
        <f>IF(IFERROR(INDEX(Bills1[Amount],ROWS($B$1:$B1)),
IFERROR(INDEX(Bills2[Amount],(ROWS($B$1:$B1)-ROWS(Bills1[Amount]))),))&gt;0,
-IFERROR(INDEX(Bills1[Amount],ROWS($B$1:$B1)),
IFERROR(INDEX(Bills2[Amount],(ROWS($B$1:$B1)-ROWS(Bills1[Amount]))),)), "")</f>
        <v>-600</v>
      </c>
      <c r="U2" s="131"/>
      <c r="V2" s="129">
        <v>43770</v>
      </c>
      <c r="W2" s="1">
        <f>DAY(income_future[[#This Row],[dates]])</f>
        <v>1</v>
      </c>
      <c r="X2" s="130">
        <f ca="1">SUMIF(income_curr[mod( )], MOD(V2, 14), income_curr[income])</f>
        <v>0</v>
      </c>
      <c r="Z2" s="132" t="str">
        <f ca="1">IF(TEXT(Table10[[#This Row],[dates]], "ddd")="Mon", 999999999, "")</f>
        <v/>
      </c>
      <c r="AA2" s="132" t="str">
        <f ca="1">IF(TODAY()=Table10[[#This Row],[dates]], TEXT(DATE(2019, MONTH(Table10[[#This Row],[dates]]), 1), "mmm"), IFERROR(IF(MONTH(Table10[[#This Row],[dates]])&lt;&gt;MONTH(AC1), TEXT(DATE(2019, MONTH(Table10[[#This Row],[dates]]), 1), "mmm"), ""), ""))</f>
        <v>Nov</v>
      </c>
      <c r="AB2" s="133">
        <f ca="1">DAY('Data Preparation'!$AC2)</f>
        <v>10</v>
      </c>
      <c r="AC2" s="134">
        <f t="shared" ref="AC2:AC33" ca="1" si="0">TODAY()+(ROW(AB2)-ROW($AB$2))</f>
        <v>43779</v>
      </c>
      <c r="AD2" s="135">
        <f>Table10[[#This Row],[sum per date]]</f>
        <v>2000</v>
      </c>
      <c r="AE2" s="136">
        <f>Dashboard!D18</f>
        <v>2000</v>
      </c>
      <c r="AF2" s="136">
        <f ca="1">Table10[[#This Row],[sum per date]]-IF(MONTH(Table10[[#This Row],[dates]])=MONTH(TODAY()),
SUMIF(Bills3[Paid?], "&lt;&gt;Y", Bills3[Amount]), SUM(Bills3[Amount]))</f>
        <v>1880</v>
      </c>
      <c r="AG2" s="136" t="e">
        <f ca="1">IF(AND(
Table10[[#This Row],[fluctuation]]=MIN(INDEX(Table10[fluctuation], MATCH(TODAY(),Table10[dates], 0)):INDEX(Table10[fluctuation], MATCH(end_date,Table10[dates], 0))),
OR(ISNA(INDEX($AF1:AF$2, MATCH(Table10[[#This Row],[fluctuation]], $AF1:AF$2, 0))), ROW(AG2)=2)),
Table10[[#This Row],[fluctuation]],
NA())</f>
        <v>#N/A</v>
      </c>
      <c r="AI2" s="84" t="str">
        <f>IF(ISTEXT('Forms; Income &amp; Bills'!$E2), 'Forms; Income &amp; Bills'!$E2, )</f>
        <v>Internship</v>
      </c>
      <c r="AJ2" s="77">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43771</v>
      </c>
      <c r="AK2" s="72" t="str">
        <f ca="1">IF(ISTEXT(Income1[[#This Row],[Income]]), IF(TODAY()&gt;Income1[[#This Row],[On Date]]-1, "Y", ), )</f>
        <v>Y</v>
      </c>
      <c r="AL2" s="34">
        <f>'Forms; Income &amp; Bills'!G2</f>
        <v>1000</v>
      </c>
      <c r="AM2" s="88"/>
      <c r="AN2" s="87" t="str">
        <f>Income1[[#This Row],[Income]]</f>
        <v>Internship</v>
      </c>
      <c r="AO2" s="77">
        <f ca="1">IF(ISNUMBER(Income1[[#This Row],[On Date]]), Income1[[#This Row],[On Date]]+14, "")</f>
        <v>43785</v>
      </c>
      <c r="AP2" s="72">
        <f ca="1">IF(ISTEXT(Income2[[#This Row],[Income]]), IF(TODAY()&gt;Income2[[#This Row],[On Date]]-1, "Y", ), )</f>
        <v>0</v>
      </c>
      <c r="AQ2" s="17">
        <f>Income1[[#This Row],[Amount]]</f>
        <v>1000</v>
      </c>
      <c r="AS2" s="84" t="str">
        <f ca="1">IF(ISTEXT(Income1[[#This Row],[Income]]), IF(Income3[[#This Row],[On Date]]&lt;&gt;"", Income1[[#This Row],[Income]], ), )</f>
        <v>Internship</v>
      </c>
      <c r="AT2" s="77">
        <f ca="1">IF(ISNUMBER(Income1[[#This Row],[On Date]]), IF(MONTH($AJ2+28)=MONTH($AJ2+14), $AJ2+28, ""), "")</f>
        <v>43799</v>
      </c>
      <c r="AU2" s="73">
        <f ca="1">IF(ISTEXT(Income3[[#This Row],[3rd checks]]), IF(TODAY()&gt;Income3[[#This Row],[On Date]]-1, "Y", ), )</f>
        <v>0</v>
      </c>
      <c r="AV2" s="17">
        <f ca="1">IF(ISTEXT(Income3[[#This Row],[3rd checks]]), Income1[[#This Row],[Amount]], )</f>
        <v>1000</v>
      </c>
      <c r="AX2" s="137">
        <f ca="1">IF(ISNUMBER(income_curr[[#This Row],[income]]),
IFERROR(DATEVALUE(MONTH(TODAY())&amp;"/"&amp;INDEX(DAY(Income1[On Date]), ROWS(AY$2:$AY2))),
IFERROR(DATEVALUE(MONTH(TODAY())&amp;"/"&amp;INDEX(DAY(Income2[On Date]), ROWS(AY$2:$AY2)-ROWS(DAY(Income2[On Date])))),
IFERROR(DATEVALUE(MONTH(TODAY())&amp;"/"&amp;INDEX(DAY(Income3[On Date]), ROWS(AY$2:$AY2)-ROWS(DAY(Income2[On Date]))-ROWS(DAY(Income3[On Date])))), ))), )</f>
        <v>43771</v>
      </c>
      <c r="AY2" s="138">
        <f ca="1">MOD(income_curr[[#This Row],[dates]], 14)</f>
        <v>7</v>
      </c>
      <c r="AZ2" s="130">
        <f>IF(IFERROR(INDEX(Income1[Amount],ROWS($AY$1:$AY1)),
IFERROR(INDEX(Income2[Amount],(ROWS($AY$1:$AY1)-ROWS(Income1[Amount]))),
IFERROR(INDEX(Income3[Amount],(ROWS($AY$1:$AY1)-ROWS(Income1[Amount])-ROWS(Income2[Amount]))),)))&gt;0,
IFERROR(INDEX(Income1[Amount],ROWS($AY$1:$AY1)),
IFERROR(INDEX(Income2[Amount],(ROWS($AY$1:$AY1)-ROWS(Income1[Amount]))),
IFERROR(INDEX(Income3[Amount],(ROWS($AY$1:$AY1)-ROWS(Income1[Amount])-ROWS(Income2[Amount]))),))), "")</f>
        <v>1000</v>
      </c>
    </row>
    <row r="3" spans="1:52" x14ac:dyDescent="0.25">
      <c r="A3" s="129" t="str">
        <f ca="1">IF(ISNUMBER(bills_curr_mo[[#This Row],[bills]]), IFERROR(MONTH(TODAY())&amp;"/"&amp;INDEX(Bills1[Date &lt;d&gt;], ROWS(B$1:$B2)), IFERROR(MONTH(TODAY())&amp;"/"&amp;INDEX(DAY(Bills2[Date &lt;d&gt;]), (ROWS(B$1:$B2)-ROWS(Bills1[Date &lt;d&gt;]))), "")), "")</f>
        <v/>
      </c>
      <c r="B3" s="130" t="str">
        <f>IF(IFERROR(INDEX(Bills1[Amount],ROWS($B$1:$B2)),IFERROR(INDEX(Bills2[Amount],(ROWS($B$1:$B2)-ROWS(Bills1[Amount]))),))&gt;0,-IFERROR(INDEX(Bills1[Amount],ROWS($B$1:$B2)),IFERROR(INDEX(Bills2[Amount],(ROWS($B$1:$B2)-ROWS(Bills1[Amount]))),)), "")</f>
        <v/>
      </c>
      <c r="D3" s="129" t="str">
        <f ca="1">IF(ISNUMBER(bills_curr_plus1[[#This Row],[bills]]), IF(OR(MONTH($A$2)=12, YEAR($A$2)=YEAR(TODAY())+1), IFERROR(MONTH($A$2+32)&amp;"/"&amp;INDEX(Bills1[Date &lt;d&gt;], ROWS($B$1:$B2))&amp;"/"&amp;$C$51, IFERROR(MONTH($A$2+32)&amp;"/"&amp;INDEX(DAY(Bills2[Date &lt;d&gt;]), (ROWS($B$1:$B2)-ROWS(Bills1[Date &lt;d&gt;])))&amp;"/"&amp;$C$51, "")), IFERROR(MONTH($A$2+32)&amp;"/"&amp;INDEX(Bills1[Date &lt;d&gt;], ROWS($B$1:$B2)), IFERROR(MONTH($A$2+32)&amp;"/"&amp;INDEX(DAY(Bills2[Date &lt;d&gt;]), (ROWS($B$1:$B2)-ROWS(Bills1[Date &lt;d&gt;]))), ""))), "")</f>
        <v/>
      </c>
      <c r="E3" s="130" t="str">
        <f>IF(IFERROR(INDEX(Bills1[Amount],ROWS($B$1:$B2)),IFERROR(INDEX(Bills2[Amount],(ROWS($B$1:$B2)-ROWS(Bills1[Amount]))),))&gt;0,-IFERROR(INDEX(Bills1[Amount],ROWS($B$1:$B2)),IFERROR(INDEX(Bills2[Amount],(ROWS($B$1:$B2)-ROWS(Bills1[Amount]))),)), "")</f>
        <v/>
      </c>
      <c r="G3" s="129" t="str">
        <f ca="1">IF(ISNUMBER(bills_curr_plus2[[#This Row],[bills]]), IF(OR(MONTH($D$2)=12, YEAR($D$2)=YEAR(TODAY())+1), IFERROR(MONTH($D$2+32)&amp;"/"&amp;INDEX(Bills1[Date &lt;d&gt;], ROWS($B$1:$B2))&amp;"/"&amp;$C$51, IFERROR(MONTH($D$2+32)&amp;"/"&amp;INDEX(DAY(Bills2[Date &lt;d&gt;]), (ROWS($B$1:$B2)-ROWS(Bills1[Date &lt;d&gt;])))&amp;"/"&amp;$C$51, "")), IFERROR(MONTH($D$2+32)&amp;"/"&amp;INDEX(Bills1[Date &lt;d&gt;], ROWS($B$1:$B2)), IFERROR(MONTH($D$2+32)&amp;"/"&amp;INDEX(DAY(Bills2[Date &lt;d&gt;]), (ROWS($B$1:$B2)-ROWS(Bills1[Date &lt;d&gt;]))), ""))), "")</f>
        <v/>
      </c>
      <c r="H3" s="130" t="str">
        <f>IF(IFERROR(INDEX(Bills1[Amount],ROWS($B$1:$B2)),IFERROR(INDEX(Bills2[Amount],(ROWS($B$1:$B2)-ROWS(Bills1[Amount]))),))&gt;0,-IFERROR(INDEX(Bills1[Amount],ROWS($B$1:$B2)),IFERROR(INDEX(Bills2[Amount],(ROWS($B$1:$B2)-ROWS(Bills1[Amount]))),)), "")</f>
        <v/>
      </c>
      <c r="J3" s="129" t="str">
        <f ca="1">IF(ISNUMBER(bills_curr_plus3[[#This Row],[bills]]), IF(OR(MONTH($G$2)=12, YEAR($G$2)=YEAR(TODAY())+1), IFERROR(MONTH($G$2+32)&amp;"/"&amp;INDEX(Bills1[Date &lt;d&gt;], ROWS($B$1:$B2))&amp;"/"&amp;$C$51, IFERROR(MONTH($G$2+32)&amp;"/"&amp;INDEX(DAY(Bills2[Date &lt;d&gt;]), (ROWS($B$1:$B2)-ROWS(Bills1[Date &lt;d&gt;])))&amp;"/"&amp;$C$51, "")), IFERROR(MONTH($G$2+32)&amp;"/"&amp;INDEX(Bills1[Date &lt;d&gt;], ROWS($B$1:$B2)), IFERROR(MONTH($G$2+32)&amp;"/"&amp;INDEX(DAY(Bills2[Date &lt;d&gt;]), (ROWS($B$1:$B2)-ROWS(Bills1[Date &lt;d&gt;]))), ""))), "")</f>
        <v/>
      </c>
      <c r="K3" s="130" t="str">
        <f>IF(IFERROR(INDEX(Bills1[Amount],ROWS($B$1:$B2)),IFERROR(INDEX(Bills2[Amount],(ROWS($B$1:$B2)-ROWS(Bills1[Amount]))),))&gt;0,-IFERROR(INDEX(Bills1[Amount],ROWS($B$1:$B2)),IFERROR(INDEX(Bills2[Amount],(ROWS($B$1:$B2)-ROWS(Bills1[Amount]))),)), "")</f>
        <v/>
      </c>
      <c r="M3" s="129" t="str">
        <f ca="1">IF(ISNUMBER(bills_curr_plus4[[#This Row],[bills]]), IF(OR(MONTH($J$2)=12, YEAR($J$2)=YEAR(TODAY())+1), IFERROR(MONTH($J$2+32)&amp;"/"&amp;INDEX(Bills1[Date &lt;d&gt;], ROWS($B$1:$B2))&amp;"/"&amp;$C$51, IFERROR(MONTH($J$2+32)&amp;"/"&amp;INDEX(DAY(Bills2[Date &lt;d&gt;]), (ROWS($B$1:$B2)-ROWS(Bills1[Date &lt;d&gt;])))&amp;"/"&amp;$C$51, "")), IFERROR(MONTH($J$2+32)&amp;"/"&amp;INDEX(Bills1[Date &lt;d&gt;], ROWS($B$1:$B2)), IFERROR(MONTH($J$2+32)&amp;"/"&amp;INDEX(DAY(Bills2[Date &lt;d&gt;]), (ROWS($B$1:$B2)-ROWS(Bills1[Date &lt;d&gt;]))), ""))), "")</f>
        <v/>
      </c>
      <c r="N3" s="130" t="str">
        <f>IF(IFERROR(INDEX(Bills1[Amount],ROWS($B$1:$B2)),IFERROR(INDEX(Bills2[Amount],(ROWS($B$1:$B2)-ROWS(Bills1[Amount]))),))&gt;0,-IFERROR(INDEX(Bills1[Amount],ROWS($B$1:$B2)),IFERROR(INDEX(Bills2[Amount],(ROWS($B$1:$B2)-ROWS(Bills1[Amount]))),)), "")</f>
        <v/>
      </c>
      <c r="P3" s="129" t="str">
        <f ca="1">IF(ISNUMBER(bills_curr_plus5[[#This Row],[bills]]), IF(OR(MONTH($M$2)=12, YEAR($M$2)=YEAR(TODAY())+1), IFERROR(MONTH($M$2+32)&amp;"/"&amp;INDEX(Bills1[Date &lt;d&gt;], ROWS($B$1:$B2))&amp;"/"&amp;$C$51, IFERROR(MONTH($M$2+32)&amp;"/"&amp;INDEX(DAY(Bills2[Date &lt;d&gt;]), (ROWS($B$1:$B2)-ROWS(Bills1[Date &lt;d&gt;])))&amp;"/"&amp;$C$51, "")), IFERROR(MONTH($M$2+32)&amp;"/"&amp;INDEX(Bills1[Date &lt;d&gt;], ROWS($B$1:$B2)), IFERROR(MONTH($M$2+32)&amp;"/"&amp;INDEX(DAY(Bills2[Date &lt;d&gt;]), (ROWS($B$1:$B2)-ROWS(Bills1[Date &lt;d&gt;]))), ""))), "")</f>
        <v/>
      </c>
      <c r="Q3" s="130" t="str">
        <f>IF(IFERROR(INDEX(Bills1[Amount],ROWS($B$1:$B2)),IFERROR(INDEX(Bills2[Amount],(ROWS($B$1:$B2)-ROWS(Bills1[Amount]))),))&gt;0,-IFERROR(INDEX(Bills1[Amount],ROWS($B$1:$B2)),IFERROR(INDEX(Bills2[Amount],(ROWS($B$1:$B2)-ROWS(Bills1[Amount]))),)), "")</f>
        <v/>
      </c>
      <c r="R3" s="130"/>
      <c r="S3" s="129" t="str">
        <f ca="1">IF(ISNUMBER(bills_curr_plus6[[#This Row],[bills]]),
IF(OR(MONTH($P$2)=12, YEAR($P$2)=YEAR(TODAY())+1),
IFERROR(MONTH($P$2+32)&amp;"/"&amp;INDEX(Bills1[Date &lt;d&gt;], ROWS($B$1:$B2))&amp;"/"&amp;$C$51,
IFERROR(MONTH($P$2+32)&amp;"/"&amp;INDEX(DAY(Bills2[Date &lt;d&gt;]), (ROWS($B$1:$B2)-ROWS(Bills1[Date &lt;d&gt;])))&amp;"/"&amp;$C$51, "")),
IFERROR(MONTH($P$2+32)&amp;"/"&amp;INDEX(Bills1[Date &lt;d&gt;], ROWS($B$1:$B2)),
IFERROR(MONTH($P$2+32)&amp;"/"&amp;INDEX(DAY(Bills2[Date &lt;d&gt;]), (ROWS($B$1:$B2)-ROWS(Bills1[Date &lt;d&gt;]))), ""))), "")</f>
        <v/>
      </c>
      <c r="T3" s="130" t="str">
        <f>IF(IFERROR(INDEX(Bills1[Amount],ROWS($B$1:$B2)),
IFERROR(INDEX(Bills2[Amount],(ROWS($B$1:$B2)-ROWS(Bills1[Amount]))),))&gt;0,
-IFERROR(INDEX(Bills1[Amount],ROWS($B$1:$B2)),
IFERROR(INDEX(Bills2[Amount],(ROWS($B$1:$B2)-ROWS(Bills1[Amount]))),)), "")</f>
        <v/>
      </c>
      <c r="V3" s="129">
        <v>43771</v>
      </c>
      <c r="W3" s="1">
        <f>DAY(income_future[[#This Row],[dates]])</f>
        <v>2</v>
      </c>
      <c r="X3" s="130">
        <f ca="1">SUMIF(income_curr[mod( )], MOD(V3, 14), income_curr[income])</f>
        <v>1000</v>
      </c>
      <c r="Z3" s="132">
        <f ca="1">IF(TEXT(Table10[[#This Row],[dates]], "ddd")="Mon", 999999999, "")</f>
        <v>999999999</v>
      </c>
      <c r="AA3" s="132" t="str">
        <f ca="1">IF(TODAY()=Table10[[#This Row],[dates]], TEXT(DATE(2019, MONTH(Table10[[#This Row],[dates]]), 1), "mmm"), IFERROR(IF(MONTH(Table10[[#This Row],[dates]])&lt;&gt;MONTH(AC2), TEXT(DATE(2019, MONTH(Table10[[#This Row],[dates]]), 1), "mmm"), ""), ""))</f>
        <v/>
      </c>
      <c r="AB3" s="133">
        <f ca="1">DAY('Data Preparation'!$AC3)</f>
        <v>11</v>
      </c>
      <c r="AC3" s="134">
        <f t="shared" ca="1" si="0"/>
        <v>43780</v>
      </c>
      <c r="AD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 s="136">
        <f ca="1">IFERROR(
IF(MONTH(Table10[[#This Row],[dates]])&lt;&gt;MONTH($AC2), Table10[[#This Row],[delta $]]+AE2-SUM(Bills3[Amount]), N("deducts other bills at the end of each month")+
IF(Table10[[#This Row],[delta $]]&lt;&gt;0, Table10[[#This Row],[delta $]]+AE2,
AE2)),
"")</f>
        <v>2000</v>
      </c>
      <c r="AF3" s="136">
        <f ca="1">Table10[[#This Row],[sum per date]]-IF(MONTH(Table10[[#This Row],[dates]])=MONTH(TODAY()),
SUMIF(Bills3[Paid?], "&lt;&gt;Y", Bills3[Amount]), SUM(Bills3[Amount]))</f>
        <v>1880</v>
      </c>
      <c r="AG3" s="136" t="e">
        <f ca="1">IF(AND(
Table10[[#This Row],[fluctuation]]=MIN(INDEX(Table10[fluctuation], MATCH(TODAY(),Table10[dates], 0)):INDEX(Table10[fluctuation], MATCH(end_date,Table10[dates], 0))),
OR(ISNA(INDEX($AF2:AF$2, MATCH(Table10[[#This Row],[fluctuation]], $AF2:AF$2, 0))), ROW(AG3)=2)),
Table10[[#This Row],[fluctuation]],
NA())</f>
        <v>#N/A</v>
      </c>
      <c r="AI3" s="84">
        <f>IF(ISTEXT('Forms; Income &amp; Bills'!$E3), 'Forms; Income &amp; Bills'!$E3, )</f>
        <v>0</v>
      </c>
      <c r="AJ3" s="77"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3" s="72">
        <f ca="1">IF(ISTEXT(Income1[[#This Row],[Income]]), IF(TODAY()&gt;Income1[[#This Row],[On Date]]-1, "Y", ), )</f>
        <v>0</v>
      </c>
      <c r="AL3" s="34">
        <f>'Forms; Income &amp; Bills'!G3</f>
        <v>0</v>
      </c>
      <c r="AM3" s="9"/>
      <c r="AN3" s="84">
        <f>Income1[[#This Row],[Income]]</f>
        <v>0</v>
      </c>
      <c r="AO3" s="77" t="str">
        <f ca="1">IF(ISNUMBER(Income1[[#This Row],[On Date]]), Income1[[#This Row],[On Date]]+14, "")</f>
        <v/>
      </c>
      <c r="AP3" s="72">
        <f ca="1">IF(ISTEXT(Income2[[#This Row],[Income]]), IF(TODAY()&gt;Income2[[#This Row],[On Date]]-1, "Y", ), )</f>
        <v>0</v>
      </c>
      <c r="AQ3" s="33">
        <f>Income1[[#This Row],[Amount]]</f>
        <v>0</v>
      </c>
      <c r="AS3" s="84">
        <f>IF(ISTEXT(Income1[[#This Row],[Income]]), IF(Income3[[#This Row],[On Date]]&lt;&gt;"", Income1[[#This Row],[Income]], ), )</f>
        <v>0</v>
      </c>
      <c r="AT3" s="77" t="str">
        <f ca="1">IF(ISNUMBER(Income1[[#This Row],[On Date]]), IF(MONTH($AJ3+28)=MONTH($AJ3+14), $AJ3+28, ""), "")</f>
        <v/>
      </c>
      <c r="AU3" s="73">
        <f ca="1">IF(ISTEXT(Income3[[#This Row],[3rd checks]]), IF(TODAY()&gt;Income3[[#This Row],[On Date]]-1, "Y", ), )</f>
        <v>0</v>
      </c>
      <c r="AV3" s="17">
        <f>IF(ISTEXT(Income3[[#This Row],[3rd checks]]), Income1[[#This Row],[Amount]], )</f>
        <v>0</v>
      </c>
      <c r="AX3" s="137">
        <f ca="1">IF(ISNUMBER(income_curr[[#This Row],[income]]),
IFERROR(DATEVALUE(MONTH(TODAY())&amp;"/"&amp;INDEX(DAY(Income1[On Date]), ROWS(AY$2:$AY3))),
IFERROR(DATEVALUE(MONTH(TODAY())&amp;"/"&amp;INDEX(DAY(Income2[On Date]), ROWS(AY$2:$AY3)-ROWS(DAY(Income2[On Date])))),
IFERROR(DATEVALUE(MONTH(TODAY())&amp;"/"&amp;INDEX(DAY(Income3[On Date]), ROWS(AY$2:$AY3)-ROWS(DAY(Income2[On Date]))-ROWS(DAY(Income3[On Date])))), ))), )</f>
        <v>0</v>
      </c>
      <c r="AY3" s="140">
        <f ca="1">MOD(income_curr[[#This Row],[dates]], 14)</f>
        <v>0</v>
      </c>
      <c r="AZ3" s="130" t="str">
        <f>IF(IFERROR(INDEX(Income1[Amount],ROWS($AY$1:$AY2)),
IFERROR(INDEX(Income2[Amount],(ROWS($AY$1:$AY2)-ROWS(Income1[Amount]))),
IFERROR(INDEX(Income3[Amount],(ROWS($AY$1:$AY2)-ROWS(Income1[Amount])-ROWS(Income2[Amount]))),)))&gt;0,
IFERROR(INDEX(Income1[Amount],ROWS($AY$1:$AY2)),
IFERROR(INDEX(Income2[Amount],(ROWS($AY$1:$AY2)-ROWS(Income1[Amount]))),
IFERROR(INDEX(Income3[Amount],(ROWS($AY$1:$AY2)-ROWS(Income1[Amount])-ROWS(Income2[Amount]))),))), "")</f>
        <v/>
      </c>
    </row>
    <row r="4" spans="1:52" x14ac:dyDescent="0.25">
      <c r="A4" s="129" t="str">
        <f ca="1">IF(ISNUMBER(bills_curr_mo[[#This Row],[bills]]), IFERROR(MONTH(TODAY())&amp;"/"&amp;INDEX(Bills1[Date &lt;d&gt;], ROWS(B$1:$B3)), IFERROR(MONTH(TODAY())&amp;"/"&amp;INDEX(DAY(Bills2[Date &lt;d&gt;]), (ROWS(B$1:$B3)-ROWS(Bills1[Date &lt;d&gt;]))), "")), "")</f>
        <v/>
      </c>
      <c r="B4" s="130" t="str">
        <f>IF(IFERROR(INDEX(Bills1[Amount],ROWS($B$1:$B3)),IFERROR(INDEX(Bills2[Amount],(ROWS($B$1:$B3)-ROWS(Bills1[Amount]))),))&gt;0,-IFERROR(INDEX(Bills1[Amount],ROWS($B$1:$B3)),IFERROR(INDEX(Bills2[Amount],(ROWS($B$1:$B3)-ROWS(Bills1[Amount]))),)), "")</f>
        <v/>
      </c>
      <c r="D4" s="129" t="str">
        <f ca="1">IF(ISNUMBER(bills_curr_plus1[[#This Row],[bills]]), IF(OR(MONTH($A$2)=12, YEAR($A$2)=YEAR(TODAY())+1), IFERROR(MONTH($A$2+32)&amp;"/"&amp;INDEX(Bills1[Date &lt;d&gt;], ROWS($B$1:$B3))&amp;"/"&amp;$C$51, IFERROR(MONTH($A$2+32)&amp;"/"&amp;INDEX(DAY(Bills2[Date &lt;d&gt;]), (ROWS($B$1:$B3)-ROWS(Bills1[Date &lt;d&gt;])))&amp;"/"&amp;$C$51, "")), IFERROR(MONTH($A$2+32)&amp;"/"&amp;INDEX(Bills1[Date &lt;d&gt;], ROWS($B$1:$B3)), IFERROR(MONTH($A$2+32)&amp;"/"&amp;INDEX(DAY(Bills2[Date &lt;d&gt;]), (ROWS($B$1:$B3)-ROWS(Bills1[Date &lt;d&gt;]))), ""))), "")</f>
        <v/>
      </c>
      <c r="E4" s="130" t="str">
        <f>IF(IFERROR(INDEX(Bills1[Amount],ROWS($B$1:$B3)),IFERROR(INDEX(Bills2[Amount],(ROWS($B$1:$B3)-ROWS(Bills1[Amount]))),))&gt;0,-IFERROR(INDEX(Bills1[Amount],ROWS($B$1:$B3)),IFERROR(INDEX(Bills2[Amount],(ROWS($B$1:$B3)-ROWS(Bills1[Amount]))),)), "")</f>
        <v/>
      </c>
      <c r="G4" s="129" t="str">
        <f ca="1">IF(ISNUMBER(bills_curr_plus2[[#This Row],[bills]]), IF(OR(MONTH($D$2)=12, YEAR($D$2)=YEAR(TODAY())+1), IFERROR(MONTH($D$2+32)&amp;"/"&amp;INDEX(Bills1[Date &lt;d&gt;], ROWS($B$1:$B3))&amp;"/"&amp;$C$51, IFERROR(MONTH($D$2+32)&amp;"/"&amp;INDEX(DAY(Bills2[Date &lt;d&gt;]), (ROWS($B$1:$B3)-ROWS(Bills1[Date &lt;d&gt;])))&amp;"/"&amp;$C$51, "")), IFERROR(MONTH($D$2+32)&amp;"/"&amp;INDEX(Bills1[Date &lt;d&gt;], ROWS($B$1:$B3)), IFERROR(MONTH($D$2+32)&amp;"/"&amp;INDEX(DAY(Bills2[Date &lt;d&gt;]), (ROWS($B$1:$B3)-ROWS(Bills1[Date &lt;d&gt;]))), ""))), "")</f>
        <v/>
      </c>
      <c r="H4" s="130" t="str">
        <f>IF(IFERROR(INDEX(Bills1[Amount],ROWS($B$1:$B3)),IFERROR(INDEX(Bills2[Amount],(ROWS($B$1:$B3)-ROWS(Bills1[Amount]))),))&gt;0,-IFERROR(INDEX(Bills1[Amount],ROWS($B$1:$B3)),IFERROR(INDEX(Bills2[Amount],(ROWS($B$1:$B3)-ROWS(Bills1[Amount]))),)), "")</f>
        <v/>
      </c>
      <c r="J4" s="129" t="str">
        <f ca="1">IF(ISNUMBER(bills_curr_plus3[[#This Row],[bills]]), IF(OR(MONTH($G$2)=12, YEAR($G$2)=YEAR(TODAY())+1), IFERROR(MONTH($G$2+32)&amp;"/"&amp;INDEX(Bills1[Date &lt;d&gt;], ROWS($B$1:$B3))&amp;"/"&amp;$C$51, IFERROR(MONTH($G$2+32)&amp;"/"&amp;INDEX(DAY(Bills2[Date &lt;d&gt;]), (ROWS($B$1:$B3)-ROWS(Bills1[Date &lt;d&gt;])))&amp;"/"&amp;$C$51, "")), IFERROR(MONTH($G$2+32)&amp;"/"&amp;INDEX(Bills1[Date &lt;d&gt;], ROWS($B$1:$B3)), IFERROR(MONTH($G$2+32)&amp;"/"&amp;INDEX(DAY(Bills2[Date &lt;d&gt;]), (ROWS($B$1:$B3)-ROWS(Bills1[Date &lt;d&gt;]))), ""))), "")</f>
        <v/>
      </c>
      <c r="K4" s="130" t="str">
        <f>IF(IFERROR(INDEX(Bills1[Amount],ROWS($B$1:$B3)),IFERROR(INDEX(Bills2[Amount],(ROWS($B$1:$B3)-ROWS(Bills1[Amount]))),))&gt;0,-IFERROR(INDEX(Bills1[Amount],ROWS($B$1:$B3)),IFERROR(INDEX(Bills2[Amount],(ROWS($B$1:$B3)-ROWS(Bills1[Amount]))),)), "")</f>
        <v/>
      </c>
      <c r="M4" s="129" t="str">
        <f ca="1">IF(ISNUMBER(bills_curr_plus4[[#This Row],[bills]]), IF(OR(MONTH($J$2)=12, YEAR($J$2)=YEAR(TODAY())+1), IFERROR(MONTH($J$2+32)&amp;"/"&amp;INDEX(Bills1[Date &lt;d&gt;], ROWS($B$1:$B3))&amp;"/"&amp;$C$51, IFERROR(MONTH($J$2+32)&amp;"/"&amp;INDEX(DAY(Bills2[Date &lt;d&gt;]), (ROWS($B$1:$B3)-ROWS(Bills1[Date &lt;d&gt;])))&amp;"/"&amp;$C$51, "")), IFERROR(MONTH($J$2+32)&amp;"/"&amp;INDEX(Bills1[Date &lt;d&gt;], ROWS($B$1:$B3)), IFERROR(MONTH($J$2+32)&amp;"/"&amp;INDEX(DAY(Bills2[Date &lt;d&gt;]), (ROWS($B$1:$B3)-ROWS(Bills1[Date &lt;d&gt;]))), ""))), "")</f>
        <v/>
      </c>
      <c r="N4" s="130" t="str">
        <f>IF(IFERROR(INDEX(Bills1[Amount],ROWS($B$1:$B3)),IFERROR(INDEX(Bills2[Amount],(ROWS($B$1:$B3)-ROWS(Bills1[Amount]))),))&gt;0,-IFERROR(INDEX(Bills1[Amount],ROWS($B$1:$B3)),IFERROR(INDEX(Bills2[Amount],(ROWS($B$1:$B3)-ROWS(Bills1[Amount]))),)), "")</f>
        <v/>
      </c>
      <c r="P4" s="129" t="str">
        <f ca="1">IF(ISNUMBER(bills_curr_plus5[[#This Row],[bills]]), IF(OR(MONTH($M$2)=12, YEAR($M$2)=YEAR(TODAY())+1), IFERROR(MONTH($M$2+32)&amp;"/"&amp;INDEX(Bills1[Date &lt;d&gt;], ROWS($B$1:$B3))&amp;"/"&amp;$C$51, IFERROR(MONTH($M$2+32)&amp;"/"&amp;INDEX(DAY(Bills2[Date &lt;d&gt;]), (ROWS($B$1:$B3)-ROWS(Bills1[Date &lt;d&gt;])))&amp;"/"&amp;$C$51, "")), IFERROR(MONTH($M$2+32)&amp;"/"&amp;INDEX(Bills1[Date &lt;d&gt;], ROWS($B$1:$B3)), IFERROR(MONTH($M$2+32)&amp;"/"&amp;INDEX(DAY(Bills2[Date &lt;d&gt;]), (ROWS($B$1:$B3)-ROWS(Bills1[Date &lt;d&gt;]))), ""))), "")</f>
        <v/>
      </c>
      <c r="Q4" s="130" t="str">
        <f>IF(IFERROR(INDEX(Bills1[Amount],ROWS($B$1:$B3)),IFERROR(INDEX(Bills2[Amount],(ROWS($B$1:$B3)-ROWS(Bills1[Amount]))),))&gt;0,-IFERROR(INDEX(Bills1[Amount],ROWS($B$1:$B3)),IFERROR(INDEX(Bills2[Amount],(ROWS($B$1:$B3)-ROWS(Bills1[Amount]))),)), "")</f>
        <v/>
      </c>
      <c r="R4" s="130"/>
      <c r="S4" s="129" t="str">
        <f ca="1">IF(ISNUMBER(bills_curr_plus6[[#This Row],[bills]]),
IF(OR(MONTH($P$2)=12, YEAR($P$2)=YEAR(TODAY())+1),
IFERROR(MONTH($P$2+32)&amp;"/"&amp;INDEX(Bills1[Date &lt;d&gt;], ROWS($B$1:$B3))&amp;"/"&amp;$C$51,
IFERROR(MONTH($P$2+32)&amp;"/"&amp;INDEX(DAY(Bills2[Date &lt;d&gt;]), (ROWS($B$1:$B3)-ROWS(Bills1[Date &lt;d&gt;])))&amp;"/"&amp;$C$51, "")),
IFERROR(MONTH($P$2+32)&amp;"/"&amp;INDEX(Bills1[Date &lt;d&gt;], ROWS($B$1:$B3)),
IFERROR(MONTH($P$2+32)&amp;"/"&amp;INDEX(DAY(Bills2[Date &lt;d&gt;]), (ROWS($B$1:$B3)-ROWS(Bills1[Date &lt;d&gt;]))), ""))), "")</f>
        <v/>
      </c>
      <c r="T4" s="130" t="str">
        <f>IF(IFERROR(INDEX(Bills1[Amount],ROWS($B$1:$B3)),
IFERROR(INDEX(Bills2[Amount],(ROWS($B$1:$B3)-ROWS(Bills1[Amount]))),))&gt;0,
-IFERROR(INDEX(Bills1[Amount],ROWS($B$1:$B3)),
IFERROR(INDEX(Bills2[Amount],(ROWS($B$1:$B3)-ROWS(Bills1[Amount]))),)), "")</f>
        <v/>
      </c>
      <c r="V4" s="129">
        <v>43772</v>
      </c>
      <c r="W4" s="1">
        <f>DAY(income_future[[#This Row],[dates]])</f>
        <v>3</v>
      </c>
      <c r="X4" s="130">
        <f ca="1">SUMIF(income_curr[mod( )], MOD(V4, 14), income_curr[income])</f>
        <v>0</v>
      </c>
      <c r="Z4" s="132" t="str">
        <f ca="1">IF(TEXT(Table10[[#This Row],[dates]], "ddd")="Mon", 999999999, "")</f>
        <v/>
      </c>
      <c r="AA4" s="132" t="str">
        <f ca="1">IF(TODAY()=Table10[[#This Row],[dates]], TEXT(DATE(2019, MONTH(Table10[[#This Row],[dates]]), 1), "mmm"), IFERROR(IF(MONTH(Table10[[#This Row],[dates]])&lt;&gt;MONTH(AC3), TEXT(DATE(2019, MONTH(Table10[[#This Row],[dates]]), 1), "mmm"), ""), ""))</f>
        <v/>
      </c>
      <c r="AB4" s="133">
        <f ca="1">DAY('Data Preparation'!$AC4)</f>
        <v>12</v>
      </c>
      <c r="AC4" s="134">
        <f t="shared" ca="1" si="0"/>
        <v>43781</v>
      </c>
      <c r="AD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 s="136">
        <f ca="1">IFERROR(
IF(MONTH(Table10[[#This Row],[dates]])&lt;&gt;MONTH($AC3), Table10[[#This Row],[delta $]]+AE3-SUM(Bills3[Amount]), N("deducts other bills at the end of each month")+
IF(Table10[[#This Row],[delta $]]&lt;&gt;0, Table10[[#This Row],[delta $]]+AE3,
AE3)),
"")</f>
        <v>2000</v>
      </c>
      <c r="AF4" s="136">
        <f ca="1">Table10[[#This Row],[sum per date]]-IF(MONTH(Table10[[#This Row],[dates]])=MONTH(TODAY()),
SUMIF(Bills3[Paid?], "&lt;&gt;Y", Bills3[Amount]), SUM(Bills3[Amount]))</f>
        <v>1880</v>
      </c>
      <c r="AG4" s="136" t="e">
        <f ca="1">IF(AND(
Table10[[#This Row],[fluctuation]]=MIN(INDEX(Table10[fluctuation], MATCH(TODAY(),Table10[dates], 0)):INDEX(Table10[fluctuation], MATCH(end_date,Table10[dates], 0))),
OR(ISNA(INDEX($AF$2:AF3, MATCH(Table10[[#This Row],[fluctuation]], $AF$2:AF3, 0))), ROW(AG4)=2)),
Table10[[#This Row],[fluctuation]],
NA())</f>
        <v>#N/A</v>
      </c>
      <c r="AI4" s="84">
        <f>IF(ISTEXT('Forms; Income &amp; Bills'!$E4), 'Forms; Income &amp; Bills'!$E4, )</f>
        <v>0</v>
      </c>
      <c r="AJ4" s="77"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4" s="72">
        <f ca="1">IF(ISTEXT(Income1[[#This Row],[Income]]), IF(TODAY()&gt;Income1[[#This Row],[On Date]]-1, "Y", ), )</f>
        <v>0</v>
      </c>
      <c r="AL4" s="71">
        <f>'Forms; Income &amp; Bills'!G4</f>
        <v>0</v>
      </c>
      <c r="AM4" s="9"/>
      <c r="AN4" s="84">
        <f>Income1[[#This Row],[Income]]</f>
        <v>0</v>
      </c>
      <c r="AO4" s="77" t="str">
        <f ca="1">IF(ISNUMBER(Income1[[#This Row],[On Date]]), Income1[[#This Row],[On Date]]+14, "")</f>
        <v/>
      </c>
      <c r="AP4" s="72">
        <f ca="1">IF(ISTEXT(Income2[[#This Row],[Income]]), IF(TODAY()&gt;Income2[[#This Row],[On Date]]-1, "Y", ), )</f>
        <v>0</v>
      </c>
      <c r="AQ4" s="33">
        <f>Income1[[#This Row],[Amount]]</f>
        <v>0</v>
      </c>
      <c r="AS4" s="84">
        <f>IF(ISTEXT(Income1[[#This Row],[Income]]), IF(Income3[[#This Row],[On Date]]&lt;&gt;"", Income1[[#This Row],[Income]], ), )</f>
        <v>0</v>
      </c>
      <c r="AT4" s="77" t="str">
        <f ca="1">IF(ISNUMBER(Income1[[#This Row],[On Date]]), IF(MONTH($AJ4+28)=MONTH($AJ4+14), $AJ4+28, ""), "")</f>
        <v/>
      </c>
      <c r="AU4" s="73">
        <f ca="1">IF(ISTEXT(Income3[[#This Row],[3rd checks]]), IF(TODAY()&gt;Income3[[#This Row],[On Date]]-1, "Y", ), )</f>
        <v>0</v>
      </c>
      <c r="AV4" s="17">
        <f>IF(ISTEXT(Income3[[#This Row],[3rd checks]]), Income1[[#This Row],[Amount]], )</f>
        <v>0</v>
      </c>
      <c r="AX4" s="137">
        <f ca="1">IF(ISNUMBER(income_curr[[#This Row],[income]]),
IFERROR(DATEVALUE(MONTH(TODAY())&amp;"/"&amp;INDEX(DAY(Income1[On Date]), ROWS(AY$2:$AY4))),
IFERROR(DATEVALUE(MONTH(TODAY())&amp;"/"&amp;INDEX(DAY(Income2[On Date]), ROWS(AY$2:$AY4)-ROWS(DAY(Income2[On Date])))),
IFERROR(DATEVALUE(MONTH(TODAY())&amp;"/"&amp;INDEX(DAY(Income3[On Date]), ROWS(AY$2:$AY4)-ROWS(DAY(Income2[On Date]))-ROWS(DAY(Income3[On Date])))), ))), )</f>
        <v>0</v>
      </c>
      <c r="AY4" s="140">
        <f ca="1">MOD(income_curr[[#This Row],[dates]], 14)</f>
        <v>0</v>
      </c>
      <c r="AZ4" s="130" t="str">
        <f>IF(IFERROR(INDEX(Income1[Amount],ROWS($AY$1:$AY3)),
IFERROR(INDEX(Income2[Amount],(ROWS($AY$1:$AY3)-ROWS(Income1[Amount]))),
IFERROR(INDEX(Income3[Amount],(ROWS($AY$1:$AY3)-ROWS(Income1[Amount])-ROWS(Income2[Amount]))),)))&gt;0,
IFERROR(INDEX(Income1[Amount],ROWS($AY$1:$AY3)),
IFERROR(INDEX(Income2[Amount],(ROWS($AY$1:$AY3)-ROWS(Income1[Amount]))),
IFERROR(INDEX(Income3[Amount],(ROWS($AY$1:$AY3)-ROWS(Income1[Amount])-ROWS(Income2[Amount]))),))), "")</f>
        <v/>
      </c>
    </row>
    <row r="5" spans="1:52" x14ac:dyDescent="0.25">
      <c r="A5" s="129" t="str">
        <f ca="1">IF(ISNUMBER(bills_curr_mo[[#This Row],[bills]]), IFERROR(MONTH(TODAY())&amp;"/"&amp;INDEX(Bills1[Date &lt;d&gt;], ROWS(B$1:$B4)), IFERROR(MONTH(TODAY())&amp;"/"&amp;INDEX(DAY(Bills2[Date &lt;d&gt;]), (ROWS(B$1:$B4)-ROWS(Bills1[Date &lt;d&gt;]))), "")), "")</f>
        <v/>
      </c>
      <c r="B5" s="130" t="str">
        <f>IF(IFERROR(INDEX(Bills1[Amount],ROWS($B$1:$B4)),IFERROR(INDEX(Bills2[Amount],(ROWS($B$1:$B4)-ROWS(Bills1[Amount]))),))&gt;0,-IFERROR(INDEX(Bills1[Amount],ROWS($B$1:$B4)),IFERROR(INDEX(Bills2[Amount],(ROWS($B$1:$B4)-ROWS(Bills1[Amount]))),)), "")</f>
        <v/>
      </c>
      <c r="D5" s="129" t="str">
        <f ca="1">IF(ISNUMBER(bills_curr_plus1[[#This Row],[bills]]), IF(OR(MONTH($A$2)=12, YEAR($A$2)=YEAR(TODAY())+1), IFERROR(MONTH($A$2+32)&amp;"/"&amp;INDEX(Bills1[Date &lt;d&gt;], ROWS($B$1:$B4))&amp;"/"&amp;$C$51, IFERROR(MONTH($A$2+32)&amp;"/"&amp;INDEX(DAY(Bills2[Date &lt;d&gt;]), (ROWS($B$1:$B4)-ROWS(Bills1[Date &lt;d&gt;])))&amp;"/"&amp;$C$51, "")), IFERROR(MONTH($A$2+32)&amp;"/"&amp;INDEX(Bills1[Date &lt;d&gt;], ROWS($B$1:$B4)), IFERROR(MONTH($A$2+32)&amp;"/"&amp;INDEX(DAY(Bills2[Date &lt;d&gt;]), (ROWS($B$1:$B4)-ROWS(Bills1[Date &lt;d&gt;]))), ""))), "")</f>
        <v/>
      </c>
      <c r="E5" s="130" t="str">
        <f>IF(IFERROR(INDEX(Bills1[Amount],ROWS($B$1:$B4)),IFERROR(INDEX(Bills2[Amount],(ROWS($B$1:$B4)-ROWS(Bills1[Amount]))),))&gt;0,-IFERROR(INDEX(Bills1[Amount],ROWS($B$1:$B4)),IFERROR(INDEX(Bills2[Amount],(ROWS($B$1:$B4)-ROWS(Bills1[Amount]))),)), "")</f>
        <v/>
      </c>
      <c r="G5" s="129" t="str">
        <f ca="1">IF(ISNUMBER(bills_curr_plus2[[#This Row],[bills]]), IF(OR(MONTH($D$2)=12, YEAR($D$2)=YEAR(TODAY())+1), IFERROR(MONTH($D$2+32)&amp;"/"&amp;INDEX(Bills1[Date &lt;d&gt;], ROWS($B$1:$B4))&amp;"/"&amp;$C$51, IFERROR(MONTH($D$2+32)&amp;"/"&amp;INDEX(DAY(Bills2[Date &lt;d&gt;]), (ROWS($B$1:$B4)-ROWS(Bills1[Date &lt;d&gt;])))&amp;"/"&amp;$C$51, "")), IFERROR(MONTH($D$2+32)&amp;"/"&amp;INDEX(Bills1[Date &lt;d&gt;], ROWS($B$1:$B4)), IFERROR(MONTH($D$2+32)&amp;"/"&amp;INDEX(DAY(Bills2[Date &lt;d&gt;]), (ROWS($B$1:$B4)-ROWS(Bills1[Date &lt;d&gt;]))), ""))), "")</f>
        <v/>
      </c>
      <c r="H5" s="130" t="str">
        <f>IF(IFERROR(INDEX(Bills1[Amount],ROWS($B$1:$B4)),IFERROR(INDEX(Bills2[Amount],(ROWS($B$1:$B4)-ROWS(Bills1[Amount]))),))&gt;0,-IFERROR(INDEX(Bills1[Amount],ROWS($B$1:$B4)),IFERROR(INDEX(Bills2[Amount],(ROWS($B$1:$B4)-ROWS(Bills1[Amount]))),)), "")</f>
        <v/>
      </c>
      <c r="J5" s="129" t="str">
        <f ca="1">IF(ISNUMBER(bills_curr_plus3[[#This Row],[bills]]), IF(OR(MONTH($G$2)=12, YEAR($G$2)=YEAR(TODAY())+1), IFERROR(MONTH($G$2+32)&amp;"/"&amp;INDEX(Bills1[Date &lt;d&gt;], ROWS($B$1:$B4))&amp;"/"&amp;$C$51, IFERROR(MONTH($G$2+32)&amp;"/"&amp;INDEX(DAY(Bills2[Date &lt;d&gt;]), (ROWS($B$1:$B4)-ROWS(Bills1[Date &lt;d&gt;])))&amp;"/"&amp;$C$51, "")), IFERROR(MONTH($G$2+32)&amp;"/"&amp;INDEX(Bills1[Date &lt;d&gt;], ROWS($B$1:$B4)), IFERROR(MONTH($G$2+32)&amp;"/"&amp;INDEX(DAY(Bills2[Date &lt;d&gt;]), (ROWS($B$1:$B4)-ROWS(Bills1[Date &lt;d&gt;]))), ""))), "")</f>
        <v/>
      </c>
      <c r="K5" s="130" t="str">
        <f>IF(IFERROR(INDEX(Bills1[Amount],ROWS($B$1:$B4)),IFERROR(INDEX(Bills2[Amount],(ROWS($B$1:$B4)-ROWS(Bills1[Amount]))),))&gt;0,-IFERROR(INDEX(Bills1[Amount],ROWS($B$1:$B4)),IFERROR(INDEX(Bills2[Amount],(ROWS($B$1:$B4)-ROWS(Bills1[Amount]))),)), "")</f>
        <v/>
      </c>
      <c r="M5" s="129" t="str">
        <f ca="1">IF(ISNUMBER(bills_curr_plus4[[#This Row],[bills]]), IF(OR(MONTH($J$2)=12, YEAR($J$2)=YEAR(TODAY())+1), IFERROR(MONTH($J$2+32)&amp;"/"&amp;INDEX(Bills1[Date &lt;d&gt;], ROWS($B$1:$B4))&amp;"/"&amp;$C$51, IFERROR(MONTH($J$2+32)&amp;"/"&amp;INDEX(DAY(Bills2[Date &lt;d&gt;]), (ROWS($B$1:$B4)-ROWS(Bills1[Date &lt;d&gt;])))&amp;"/"&amp;$C$51, "")), IFERROR(MONTH($J$2+32)&amp;"/"&amp;INDEX(Bills1[Date &lt;d&gt;], ROWS($B$1:$B4)), IFERROR(MONTH($J$2+32)&amp;"/"&amp;INDEX(DAY(Bills2[Date &lt;d&gt;]), (ROWS($B$1:$B4)-ROWS(Bills1[Date &lt;d&gt;]))), ""))), "")</f>
        <v/>
      </c>
      <c r="N5" s="130" t="str">
        <f>IF(IFERROR(INDEX(Bills1[Amount],ROWS($B$1:$B4)),IFERROR(INDEX(Bills2[Amount],(ROWS($B$1:$B4)-ROWS(Bills1[Amount]))),))&gt;0,-IFERROR(INDEX(Bills1[Amount],ROWS($B$1:$B4)),IFERROR(INDEX(Bills2[Amount],(ROWS($B$1:$B4)-ROWS(Bills1[Amount]))),)), "")</f>
        <v/>
      </c>
      <c r="P5" s="129" t="str">
        <f ca="1">IF(ISNUMBER(bills_curr_plus5[[#This Row],[bills]]), IF(OR(MONTH($M$2)=12, YEAR($M$2)=YEAR(TODAY())+1), IFERROR(MONTH($M$2+32)&amp;"/"&amp;INDEX(Bills1[Date &lt;d&gt;], ROWS($B$1:$B4))&amp;"/"&amp;$C$51, IFERROR(MONTH($M$2+32)&amp;"/"&amp;INDEX(DAY(Bills2[Date &lt;d&gt;]), (ROWS($B$1:$B4)-ROWS(Bills1[Date &lt;d&gt;])))&amp;"/"&amp;$C$51, "")), IFERROR(MONTH($M$2+32)&amp;"/"&amp;INDEX(Bills1[Date &lt;d&gt;], ROWS($B$1:$B4)), IFERROR(MONTH($M$2+32)&amp;"/"&amp;INDEX(DAY(Bills2[Date &lt;d&gt;]), (ROWS($B$1:$B4)-ROWS(Bills1[Date &lt;d&gt;]))), ""))), "")</f>
        <v/>
      </c>
      <c r="Q5" s="130" t="str">
        <f>IF(IFERROR(INDEX(Bills1[Amount],ROWS($B$1:$B4)),IFERROR(INDEX(Bills2[Amount],(ROWS($B$1:$B4)-ROWS(Bills1[Amount]))),))&gt;0,-IFERROR(INDEX(Bills1[Amount],ROWS($B$1:$B4)),IFERROR(INDEX(Bills2[Amount],(ROWS($B$1:$B4)-ROWS(Bills1[Amount]))),)), "")</f>
        <v/>
      </c>
      <c r="R5" s="130"/>
      <c r="S5" s="129" t="str">
        <f ca="1">IF(ISNUMBER(bills_curr_plus6[[#This Row],[bills]]),
IF(OR(MONTH($P$2)=12, YEAR($P$2)=YEAR(TODAY())+1),
IFERROR(MONTH($P$2+32)&amp;"/"&amp;INDEX(Bills1[Date &lt;d&gt;], ROWS($B$1:$B4))&amp;"/"&amp;$C$51,
IFERROR(MONTH($P$2+32)&amp;"/"&amp;INDEX(DAY(Bills2[Date &lt;d&gt;]), (ROWS($B$1:$B4)-ROWS(Bills1[Date &lt;d&gt;])))&amp;"/"&amp;$C$51, "")),
IFERROR(MONTH($P$2+32)&amp;"/"&amp;INDEX(Bills1[Date &lt;d&gt;], ROWS($B$1:$B4)),
IFERROR(MONTH($P$2+32)&amp;"/"&amp;INDEX(DAY(Bills2[Date &lt;d&gt;]), (ROWS($B$1:$B4)-ROWS(Bills1[Date &lt;d&gt;]))), ""))), "")</f>
        <v/>
      </c>
      <c r="T5" s="130" t="str">
        <f>IF(IFERROR(INDEX(Bills1[Amount],ROWS($B$1:$B4)),
IFERROR(INDEX(Bills2[Amount],(ROWS($B$1:$B4)-ROWS(Bills1[Amount]))),))&gt;0,
-IFERROR(INDEX(Bills1[Amount],ROWS($B$1:$B4)),
IFERROR(INDEX(Bills2[Amount],(ROWS($B$1:$B4)-ROWS(Bills1[Amount]))),)), "")</f>
        <v/>
      </c>
      <c r="V5" s="129">
        <v>43773</v>
      </c>
      <c r="W5" s="1">
        <f>DAY(income_future[[#This Row],[dates]])</f>
        <v>4</v>
      </c>
      <c r="X5" s="130">
        <f ca="1">SUMIF(income_curr[mod( )], MOD(V5, 14), income_curr[income])</f>
        <v>0</v>
      </c>
      <c r="Z5" s="132" t="str">
        <f ca="1">IF(TEXT(Table10[[#This Row],[dates]], "ddd")="Mon", 999999999, "")</f>
        <v/>
      </c>
      <c r="AA5" s="132" t="str">
        <f ca="1">IF(TODAY()=Table10[[#This Row],[dates]], TEXT(DATE(2019, MONTH(Table10[[#This Row],[dates]]), 1), "mmm"), IFERROR(IF(MONTH(Table10[[#This Row],[dates]])&lt;&gt;MONTH(AC4), TEXT(DATE(2019, MONTH(Table10[[#This Row],[dates]]), 1), "mmm"), ""), ""))</f>
        <v/>
      </c>
      <c r="AB5" s="133">
        <f ca="1">DAY('Data Preparation'!$AC5)</f>
        <v>13</v>
      </c>
      <c r="AC5" s="134">
        <f t="shared" ca="1" si="0"/>
        <v>43782</v>
      </c>
      <c r="AD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 s="136">
        <f ca="1">IFERROR(
IF(MONTH(Table10[[#This Row],[dates]])&lt;&gt;MONTH($AC4), Table10[[#This Row],[delta $]]+AE4-SUM(Bills3[Amount]), N("deducts other bills at the end of each month")+
IF(Table10[[#This Row],[delta $]]&lt;&gt;0, Table10[[#This Row],[delta $]]+AE4,
AE4)),
"")</f>
        <v>2000</v>
      </c>
      <c r="AF5" s="136">
        <f ca="1">Table10[[#This Row],[sum per date]]-IF(MONTH(Table10[[#This Row],[dates]])=MONTH(TODAY()),
SUMIF(Bills3[Paid?], "&lt;&gt;Y", Bills3[Amount]), SUM(Bills3[Amount]))</f>
        <v>1880</v>
      </c>
      <c r="AG5" s="136" t="e">
        <f ca="1">IF(AND(
Table10[[#This Row],[fluctuation]]=MIN(INDEX(Table10[fluctuation], MATCH(TODAY(),Table10[dates], 0)):INDEX(Table10[fluctuation], MATCH(end_date,Table10[dates], 0))),
OR(ISNA(INDEX($AF$2:AF4, MATCH(Table10[[#This Row],[fluctuation]], $AF$2:AF4, 0))), ROW(AG5)=2)),
Table10[[#This Row],[fluctuation]],
NA())</f>
        <v>#N/A</v>
      </c>
      <c r="AI5" s="84">
        <f>IF(ISTEXT('Forms; Income &amp; Bills'!$E5), 'Forms; Income &amp; Bills'!$E5, )</f>
        <v>0</v>
      </c>
      <c r="AJ5" s="77"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5" s="72">
        <f ca="1">IF(ISTEXT(Income1[[#This Row],[Income]]), IF(TODAY()&gt;Income1[[#This Row],[On Date]]-1, "Y", ), )</f>
        <v>0</v>
      </c>
      <c r="AL5" s="71">
        <f>'Forms; Income &amp; Bills'!G5</f>
        <v>0</v>
      </c>
      <c r="AM5" s="9"/>
      <c r="AN5" s="84">
        <f>Income1[[#This Row],[Income]]</f>
        <v>0</v>
      </c>
      <c r="AO5" s="77" t="str">
        <f ca="1">IF(ISNUMBER(Income1[[#This Row],[On Date]]), Income1[[#This Row],[On Date]]+14, "")</f>
        <v/>
      </c>
      <c r="AP5" s="72">
        <f ca="1">IF(ISTEXT(Income2[[#This Row],[Income]]), IF(TODAY()&gt;Income2[[#This Row],[On Date]]-1, "Y", ), )</f>
        <v>0</v>
      </c>
      <c r="AQ5" s="33">
        <f>Income1[[#This Row],[Amount]]</f>
        <v>0</v>
      </c>
      <c r="AS5" s="84">
        <f>IF(ISTEXT(Income1[[#This Row],[Income]]), IF(Income3[[#This Row],[On Date]]&lt;&gt;"", Income1[[#This Row],[Income]], ), )</f>
        <v>0</v>
      </c>
      <c r="AT5" s="77" t="str">
        <f ca="1">IF(ISNUMBER(Income1[[#This Row],[On Date]]), IF(MONTH($AJ5+28)=MONTH($AJ5+14), $AJ5+28, ""), "")</f>
        <v/>
      </c>
      <c r="AU5" s="73">
        <f ca="1">IF(ISTEXT(Income3[[#This Row],[3rd checks]]), IF(TODAY()&gt;Income3[[#This Row],[On Date]]-1, "Y", ), )</f>
        <v>0</v>
      </c>
      <c r="AV5" s="17">
        <f>IF(ISTEXT(Income3[[#This Row],[3rd checks]]), Income1[[#This Row],[Amount]], )</f>
        <v>0</v>
      </c>
      <c r="AX5" s="137">
        <f ca="1">IF(ISNUMBER(income_curr[[#This Row],[income]]),
IFERROR(DATEVALUE(MONTH(TODAY())&amp;"/"&amp;INDEX(DAY(Income1[On Date]), ROWS(AY$2:$AY5))),
IFERROR(DATEVALUE(MONTH(TODAY())&amp;"/"&amp;INDEX(DAY(Income2[On Date]), ROWS(AY$2:$AY5)-ROWS(DAY(Income2[On Date])))),
IFERROR(DATEVALUE(MONTH(TODAY())&amp;"/"&amp;INDEX(DAY(Income3[On Date]), ROWS(AY$2:$AY5)-ROWS(DAY(Income2[On Date]))-ROWS(DAY(Income3[On Date])))), ))), )</f>
        <v>0</v>
      </c>
      <c r="AY5" s="140">
        <f ca="1">MOD(income_curr[[#This Row],[dates]], 14)</f>
        <v>0</v>
      </c>
      <c r="AZ5" s="130" t="str">
        <f>IF(IFERROR(INDEX(Income1[Amount],ROWS($AY$1:$AY4)),
IFERROR(INDEX(Income2[Amount],(ROWS($AY$1:$AY4)-ROWS(Income1[Amount]))),
IFERROR(INDEX(Income3[Amount],(ROWS($AY$1:$AY4)-ROWS(Income1[Amount])-ROWS(Income2[Amount]))),)))&gt;0,
IFERROR(INDEX(Income1[Amount],ROWS($AY$1:$AY4)),
IFERROR(INDEX(Income2[Amount],(ROWS($AY$1:$AY4)-ROWS(Income1[Amount]))),
IFERROR(INDEX(Income3[Amount],(ROWS($AY$1:$AY4)-ROWS(Income1[Amount])-ROWS(Income2[Amount]))),))), "")</f>
        <v/>
      </c>
    </row>
    <row r="6" spans="1:52" x14ac:dyDescent="0.25">
      <c r="A6" s="129" t="str">
        <f ca="1">IF(ISNUMBER(bills_curr_mo[[#This Row],[bills]]), IFERROR(MONTH(TODAY())&amp;"/"&amp;INDEX(Bills1[Date &lt;d&gt;], ROWS(B$1:$B5)), IFERROR(MONTH(TODAY())&amp;"/"&amp;INDEX(DAY(Bills2[Date &lt;d&gt;]), (ROWS(B$1:$B5)-ROWS(Bills1[Date &lt;d&gt;]))), "")), "")</f>
        <v/>
      </c>
      <c r="B6" s="130" t="str">
        <f>IF(IFERROR(INDEX(Bills1[Amount],ROWS($B$1:$B5)),IFERROR(INDEX(Bills2[Amount],(ROWS($B$1:$B5)-ROWS(Bills1[Amount]))),))&gt;0,-IFERROR(INDEX(Bills1[Amount],ROWS($B$1:$B5)),IFERROR(INDEX(Bills2[Amount],(ROWS($B$1:$B5)-ROWS(Bills1[Amount]))),)), "")</f>
        <v/>
      </c>
      <c r="D6" s="129" t="str">
        <f ca="1">IF(ISNUMBER(bills_curr_plus1[[#This Row],[bills]]), IF(OR(MONTH($A$2)=12, YEAR($A$2)=YEAR(TODAY())+1), IFERROR(MONTH($A$2+32)&amp;"/"&amp;INDEX(Bills1[Date &lt;d&gt;], ROWS($B$1:$B5))&amp;"/"&amp;$C$51, IFERROR(MONTH($A$2+32)&amp;"/"&amp;INDEX(DAY(Bills2[Date &lt;d&gt;]), (ROWS($B$1:$B5)-ROWS(Bills1[Date &lt;d&gt;])))&amp;"/"&amp;$C$51, "")), IFERROR(MONTH($A$2+32)&amp;"/"&amp;INDEX(Bills1[Date &lt;d&gt;], ROWS($B$1:$B5)), IFERROR(MONTH($A$2+32)&amp;"/"&amp;INDEX(DAY(Bills2[Date &lt;d&gt;]), (ROWS($B$1:$B5)-ROWS(Bills1[Date &lt;d&gt;]))), ""))), "")</f>
        <v/>
      </c>
      <c r="E6" s="130" t="str">
        <f>IF(IFERROR(INDEX(Bills1[Amount],ROWS($B$1:$B5)),IFERROR(INDEX(Bills2[Amount],(ROWS($B$1:$B5)-ROWS(Bills1[Amount]))),))&gt;0,-IFERROR(INDEX(Bills1[Amount],ROWS($B$1:$B5)),IFERROR(INDEX(Bills2[Amount],(ROWS($B$1:$B5)-ROWS(Bills1[Amount]))),)), "")</f>
        <v/>
      </c>
      <c r="G6" s="129" t="str">
        <f ca="1">IF(ISNUMBER(bills_curr_plus2[[#This Row],[bills]]), IF(OR(MONTH($D$2)=12, YEAR($D$2)=YEAR(TODAY())+1), IFERROR(MONTH($D$2+32)&amp;"/"&amp;INDEX(Bills1[Date &lt;d&gt;], ROWS($B$1:$B5))&amp;"/"&amp;$C$51, IFERROR(MONTH($D$2+32)&amp;"/"&amp;INDEX(DAY(Bills2[Date &lt;d&gt;]), (ROWS($B$1:$B5)-ROWS(Bills1[Date &lt;d&gt;])))&amp;"/"&amp;$C$51, "")), IFERROR(MONTH($D$2+32)&amp;"/"&amp;INDEX(Bills1[Date &lt;d&gt;], ROWS($B$1:$B5)), IFERROR(MONTH($D$2+32)&amp;"/"&amp;INDEX(DAY(Bills2[Date &lt;d&gt;]), (ROWS($B$1:$B5)-ROWS(Bills1[Date &lt;d&gt;]))), ""))), "")</f>
        <v/>
      </c>
      <c r="H6" s="130" t="str">
        <f>IF(IFERROR(INDEX(Bills1[Amount],ROWS($B$1:$B5)),IFERROR(INDEX(Bills2[Amount],(ROWS($B$1:$B5)-ROWS(Bills1[Amount]))),))&gt;0,-IFERROR(INDEX(Bills1[Amount],ROWS($B$1:$B5)),IFERROR(INDEX(Bills2[Amount],(ROWS($B$1:$B5)-ROWS(Bills1[Amount]))),)), "")</f>
        <v/>
      </c>
      <c r="J6" s="129" t="str">
        <f ca="1">IF(ISNUMBER(bills_curr_plus3[[#This Row],[bills]]), IF(OR(MONTH($G$2)=12, YEAR($G$2)=YEAR(TODAY())+1), IFERROR(MONTH($G$2+32)&amp;"/"&amp;INDEX(Bills1[Date &lt;d&gt;], ROWS($B$1:$B5))&amp;"/"&amp;$C$51, IFERROR(MONTH($G$2+32)&amp;"/"&amp;INDEX(DAY(Bills2[Date &lt;d&gt;]), (ROWS($B$1:$B5)-ROWS(Bills1[Date &lt;d&gt;])))&amp;"/"&amp;$C$51, "")), IFERROR(MONTH($G$2+32)&amp;"/"&amp;INDEX(Bills1[Date &lt;d&gt;], ROWS($B$1:$B5)), IFERROR(MONTH($G$2+32)&amp;"/"&amp;INDEX(DAY(Bills2[Date &lt;d&gt;]), (ROWS($B$1:$B5)-ROWS(Bills1[Date &lt;d&gt;]))), ""))), "")</f>
        <v/>
      </c>
      <c r="K6" s="130" t="str">
        <f>IF(IFERROR(INDEX(Bills1[Amount],ROWS($B$1:$B5)),IFERROR(INDEX(Bills2[Amount],(ROWS($B$1:$B5)-ROWS(Bills1[Amount]))),))&gt;0,-IFERROR(INDEX(Bills1[Amount],ROWS($B$1:$B5)),IFERROR(INDEX(Bills2[Amount],(ROWS($B$1:$B5)-ROWS(Bills1[Amount]))),)), "")</f>
        <v/>
      </c>
      <c r="M6" s="129" t="str">
        <f ca="1">IF(ISNUMBER(bills_curr_plus4[[#This Row],[bills]]), IF(OR(MONTH($J$2)=12, YEAR($J$2)=YEAR(TODAY())+1), IFERROR(MONTH($J$2+32)&amp;"/"&amp;INDEX(Bills1[Date &lt;d&gt;], ROWS($B$1:$B5))&amp;"/"&amp;$C$51, IFERROR(MONTH($J$2+32)&amp;"/"&amp;INDEX(DAY(Bills2[Date &lt;d&gt;]), (ROWS($B$1:$B5)-ROWS(Bills1[Date &lt;d&gt;])))&amp;"/"&amp;$C$51, "")), IFERROR(MONTH($J$2+32)&amp;"/"&amp;INDEX(Bills1[Date &lt;d&gt;], ROWS($B$1:$B5)), IFERROR(MONTH($J$2+32)&amp;"/"&amp;INDEX(DAY(Bills2[Date &lt;d&gt;]), (ROWS($B$1:$B5)-ROWS(Bills1[Date &lt;d&gt;]))), ""))), "")</f>
        <v/>
      </c>
      <c r="N6" s="130" t="str">
        <f>IF(IFERROR(INDEX(Bills1[Amount],ROWS($B$1:$B5)),IFERROR(INDEX(Bills2[Amount],(ROWS($B$1:$B5)-ROWS(Bills1[Amount]))),))&gt;0,-IFERROR(INDEX(Bills1[Amount],ROWS($B$1:$B5)),IFERROR(INDEX(Bills2[Amount],(ROWS($B$1:$B5)-ROWS(Bills1[Amount]))),)), "")</f>
        <v/>
      </c>
      <c r="P6" s="129" t="str">
        <f ca="1">IF(ISNUMBER(bills_curr_plus5[[#This Row],[bills]]), IF(OR(MONTH($M$2)=12, YEAR($M$2)=YEAR(TODAY())+1), IFERROR(MONTH($M$2+32)&amp;"/"&amp;INDEX(Bills1[Date &lt;d&gt;], ROWS($B$1:$B5))&amp;"/"&amp;$C$51, IFERROR(MONTH($M$2+32)&amp;"/"&amp;INDEX(DAY(Bills2[Date &lt;d&gt;]), (ROWS($B$1:$B5)-ROWS(Bills1[Date &lt;d&gt;])))&amp;"/"&amp;$C$51, "")), IFERROR(MONTH($M$2+32)&amp;"/"&amp;INDEX(Bills1[Date &lt;d&gt;], ROWS($B$1:$B5)), IFERROR(MONTH($M$2+32)&amp;"/"&amp;INDEX(DAY(Bills2[Date &lt;d&gt;]), (ROWS($B$1:$B5)-ROWS(Bills1[Date &lt;d&gt;]))), ""))), "")</f>
        <v/>
      </c>
      <c r="Q6" s="130" t="str">
        <f>IF(IFERROR(INDEX(Bills1[Amount],ROWS($B$1:$B5)),IFERROR(INDEX(Bills2[Amount],(ROWS($B$1:$B5)-ROWS(Bills1[Amount]))),))&gt;0,-IFERROR(INDEX(Bills1[Amount],ROWS($B$1:$B5)),IFERROR(INDEX(Bills2[Amount],(ROWS($B$1:$B5)-ROWS(Bills1[Amount]))),)), "")</f>
        <v/>
      </c>
      <c r="R6" s="130"/>
      <c r="S6" s="129" t="str">
        <f ca="1">IF(ISNUMBER(bills_curr_plus6[[#This Row],[bills]]),
IF(OR(MONTH($P$2)=12, YEAR($P$2)=YEAR(TODAY())+1),
IFERROR(MONTH($P$2+32)&amp;"/"&amp;INDEX(Bills1[Date &lt;d&gt;], ROWS($B$1:$B5))&amp;"/"&amp;$C$51,
IFERROR(MONTH($P$2+32)&amp;"/"&amp;INDEX(DAY(Bills2[Date &lt;d&gt;]), (ROWS($B$1:$B5)-ROWS(Bills1[Date &lt;d&gt;])))&amp;"/"&amp;$C$51, "")),
IFERROR(MONTH($P$2+32)&amp;"/"&amp;INDEX(Bills1[Date &lt;d&gt;], ROWS($B$1:$B5)),
IFERROR(MONTH($P$2+32)&amp;"/"&amp;INDEX(DAY(Bills2[Date &lt;d&gt;]), (ROWS($B$1:$B5)-ROWS(Bills1[Date &lt;d&gt;]))), ""))), "")</f>
        <v/>
      </c>
      <c r="T6" s="130" t="str">
        <f>IF(IFERROR(INDEX(Bills1[Amount],ROWS($B$1:$B5)),
IFERROR(INDEX(Bills2[Amount],(ROWS($B$1:$B5)-ROWS(Bills1[Amount]))),))&gt;0,
-IFERROR(INDEX(Bills1[Amount],ROWS($B$1:$B5)),
IFERROR(INDEX(Bills2[Amount],(ROWS($B$1:$B5)-ROWS(Bills1[Amount]))),)), "")</f>
        <v/>
      </c>
      <c r="V6" s="129">
        <v>43774</v>
      </c>
      <c r="W6" s="1">
        <f>DAY(income_future[[#This Row],[dates]])</f>
        <v>5</v>
      </c>
      <c r="X6" s="130">
        <f ca="1">SUMIF(income_curr[mod( )], MOD(V6, 14), income_curr[income])</f>
        <v>0</v>
      </c>
      <c r="Z6" s="132" t="str">
        <f ca="1">IF(TEXT(Table10[[#This Row],[dates]], "ddd")="Mon", 999999999, "")</f>
        <v/>
      </c>
      <c r="AA6" s="132" t="str">
        <f ca="1">IF(TODAY()=Table10[[#This Row],[dates]], TEXT(DATE(2019, MONTH(Table10[[#This Row],[dates]]), 1), "mmm"), IFERROR(IF(MONTH(Table10[[#This Row],[dates]])&lt;&gt;MONTH(AC5), TEXT(DATE(2019, MONTH(Table10[[#This Row],[dates]]), 1), "mmm"), ""), ""))</f>
        <v/>
      </c>
      <c r="AB6" s="133">
        <f ca="1">DAY('Data Preparation'!$AC6)</f>
        <v>14</v>
      </c>
      <c r="AC6" s="134">
        <f t="shared" ca="1" si="0"/>
        <v>43783</v>
      </c>
      <c r="AD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 s="136">
        <f ca="1">IFERROR(
IF(MONTH(Table10[[#This Row],[dates]])&lt;&gt;MONTH($AC5), Table10[[#This Row],[delta $]]+AE5-SUM(Bills3[Amount]), N("deducts other bills at the end of each month")+
IF(Table10[[#This Row],[delta $]]&lt;&gt;0, Table10[[#This Row],[delta $]]+AE5,
AE5)),
"")</f>
        <v>2000</v>
      </c>
      <c r="AF6" s="136">
        <f ca="1">Table10[[#This Row],[sum per date]]-IF(MONTH(Table10[[#This Row],[dates]])=MONTH(TODAY()),
SUMIF(Bills3[Paid?], "&lt;&gt;Y", Bills3[Amount]), SUM(Bills3[Amount]))</f>
        <v>1880</v>
      </c>
      <c r="AG6" s="136" t="e">
        <f ca="1">IF(AND(
Table10[[#This Row],[fluctuation]]=MIN(INDEX(Table10[fluctuation], MATCH(TODAY(),Table10[dates], 0)):INDEX(Table10[fluctuation], MATCH(end_date,Table10[dates], 0))),
OR(ISNA(INDEX($AF$2:AF5, MATCH(Table10[[#This Row],[fluctuation]], $AF$2:AF5, 0))), ROW(AG6)=2)),
Table10[[#This Row],[fluctuation]],
NA())</f>
        <v>#N/A</v>
      </c>
      <c r="AI6" s="84">
        <f>IF(ISTEXT('Forms; Income &amp; Bills'!$E6), 'Forms; Income &amp; Bills'!$E6, )</f>
        <v>0</v>
      </c>
      <c r="AJ6" s="77"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6" s="72">
        <f ca="1">IF(ISTEXT(Income1[[#This Row],[Income]]), IF(TODAY()&gt;Income1[[#This Row],[On Date]]-1, "Y", ), )</f>
        <v>0</v>
      </c>
      <c r="AL6" s="71">
        <f>'Forms; Income &amp; Bills'!G6</f>
        <v>0</v>
      </c>
      <c r="AM6" s="9"/>
      <c r="AN6" s="84">
        <f>Income1[[#This Row],[Income]]</f>
        <v>0</v>
      </c>
      <c r="AO6" s="77" t="str">
        <f ca="1">IF(ISNUMBER(Income1[[#This Row],[On Date]]), Income1[[#This Row],[On Date]]+14, "")</f>
        <v/>
      </c>
      <c r="AP6" s="72">
        <f ca="1">IF(ISTEXT(Income2[[#This Row],[Income]]), IF(TODAY()&gt;Income2[[#This Row],[On Date]]-1, "Y", ), )</f>
        <v>0</v>
      </c>
      <c r="AQ6" s="33">
        <f>Income1[[#This Row],[Amount]]</f>
        <v>0</v>
      </c>
      <c r="AS6" s="84">
        <f>IF(ISTEXT(Income1[[#This Row],[Income]]), IF(Income3[[#This Row],[On Date]]&lt;&gt;"", Income1[[#This Row],[Income]], ), )</f>
        <v>0</v>
      </c>
      <c r="AT6" s="77" t="str">
        <f ca="1">IF(ISNUMBER(Income1[[#This Row],[On Date]]), IF(MONTH($AJ6+28)=MONTH($AJ6+14), $AJ6+28, ""), "")</f>
        <v/>
      </c>
      <c r="AU6" s="73">
        <f ca="1">IF(ISTEXT(Income3[[#This Row],[3rd checks]]), IF(TODAY()&gt;Income3[[#This Row],[On Date]]-1, "Y", ), )</f>
        <v>0</v>
      </c>
      <c r="AV6" s="17">
        <f>IF(ISTEXT(Income3[[#This Row],[3rd checks]]), Income1[[#This Row],[Amount]], )</f>
        <v>0</v>
      </c>
      <c r="AX6" s="137">
        <f ca="1">IF(ISNUMBER(income_curr[[#This Row],[income]]),
IFERROR(DATEVALUE(MONTH(TODAY())&amp;"/"&amp;INDEX(DAY(Income1[On Date]), ROWS(AY$2:$AY6))),
IFERROR(DATEVALUE(MONTH(TODAY())&amp;"/"&amp;INDEX(DAY(Income2[On Date]), ROWS(AY$2:$AY6)-ROWS(DAY(Income2[On Date])))),
IFERROR(DATEVALUE(MONTH(TODAY())&amp;"/"&amp;INDEX(DAY(Income3[On Date]), ROWS(AY$2:$AY6)-ROWS(DAY(Income2[On Date]))-ROWS(DAY(Income3[On Date])))), ))), )</f>
        <v>0</v>
      </c>
      <c r="AY6" s="140">
        <f ca="1">MOD(income_curr[[#This Row],[dates]], 14)</f>
        <v>0</v>
      </c>
      <c r="AZ6" s="130" t="str">
        <f>IF(IFERROR(INDEX(Income1[Amount],ROWS($AY$1:$AY5)),
IFERROR(INDEX(Income2[Amount],(ROWS($AY$1:$AY5)-ROWS(Income1[Amount]))),
IFERROR(INDEX(Income3[Amount],(ROWS($AY$1:$AY5)-ROWS(Income1[Amount])-ROWS(Income2[Amount]))),)))&gt;0,
IFERROR(INDEX(Income1[Amount],ROWS($AY$1:$AY5)),
IFERROR(INDEX(Income2[Amount],(ROWS($AY$1:$AY5)-ROWS(Income1[Amount]))),
IFERROR(INDEX(Income3[Amount],(ROWS($AY$1:$AY5)-ROWS(Income1[Amount])-ROWS(Income2[Amount]))),))), "")</f>
        <v/>
      </c>
    </row>
    <row r="7" spans="1:52" x14ac:dyDescent="0.25">
      <c r="A7" s="129" t="str">
        <f ca="1">IF(ISNUMBER(bills_curr_mo[[#This Row],[bills]]), IFERROR(MONTH(TODAY())&amp;"/"&amp;INDEX(Bills1[Date &lt;d&gt;], ROWS(B$1:$B6)), IFERROR(MONTH(TODAY())&amp;"/"&amp;INDEX(DAY(Bills2[Date &lt;d&gt;]), (ROWS(B$1:$B6)-ROWS(Bills1[Date &lt;d&gt;]))), "")), "")</f>
        <v/>
      </c>
      <c r="B7" s="130" t="str">
        <f>IF(IFERROR(INDEX(Bills1[Amount],ROWS($B$1:$B6)),IFERROR(INDEX(Bills2[Amount],(ROWS($B$1:$B6)-ROWS(Bills1[Amount]))),))&gt;0,-IFERROR(INDEX(Bills1[Amount],ROWS($B$1:$B6)),IFERROR(INDEX(Bills2[Amount],(ROWS($B$1:$B6)-ROWS(Bills1[Amount]))),)), "")</f>
        <v/>
      </c>
      <c r="D7" s="129" t="str">
        <f ca="1">IF(ISNUMBER(bills_curr_plus1[[#This Row],[bills]]), IF(OR(MONTH($A$2)=12, YEAR($A$2)=YEAR(TODAY())+1), IFERROR(MONTH($A$2+32)&amp;"/"&amp;INDEX(Bills1[Date &lt;d&gt;], ROWS($B$1:$B6))&amp;"/"&amp;$C$51, IFERROR(MONTH($A$2+32)&amp;"/"&amp;INDEX(DAY(Bills2[Date &lt;d&gt;]), (ROWS($B$1:$B6)-ROWS(Bills1[Date &lt;d&gt;])))&amp;"/"&amp;$C$51, "")), IFERROR(MONTH($A$2+32)&amp;"/"&amp;INDEX(Bills1[Date &lt;d&gt;], ROWS($B$1:$B6)), IFERROR(MONTH($A$2+32)&amp;"/"&amp;INDEX(DAY(Bills2[Date &lt;d&gt;]), (ROWS($B$1:$B6)-ROWS(Bills1[Date &lt;d&gt;]))), ""))), "")</f>
        <v/>
      </c>
      <c r="E7" s="130" t="str">
        <f>IF(IFERROR(INDEX(Bills1[Amount],ROWS($B$1:$B6)),IFERROR(INDEX(Bills2[Amount],(ROWS($B$1:$B6)-ROWS(Bills1[Amount]))),))&gt;0,-IFERROR(INDEX(Bills1[Amount],ROWS($B$1:$B6)),IFERROR(INDEX(Bills2[Amount],(ROWS($B$1:$B6)-ROWS(Bills1[Amount]))),)), "")</f>
        <v/>
      </c>
      <c r="G7" s="129" t="str">
        <f ca="1">IF(ISNUMBER(bills_curr_plus2[[#This Row],[bills]]), IF(OR(MONTH($D$2)=12, YEAR($D$2)=YEAR(TODAY())+1), IFERROR(MONTH($D$2+32)&amp;"/"&amp;INDEX(Bills1[Date &lt;d&gt;], ROWS($B$1:$B6))&amp;"/"&amp;$C$51, IFERROR(MONTH($D$2+32)&amp;"/"&amp;INDEX(DAY(Bills2[Date &lt;d&gt;]), (ROWS($B$1:$B6)-ROWS(Bills1[Date &lt;d&gt;])))&amp;"/"&amp;$C$51, "")), IFERROR(MONTH($D$2+32)&amp;"/"&amp;INDEX(Bills1[Date &lt;d&gt;], ROWS($B$1:$B6)), IFERROR(MONTH($D$2+32)&amp;"/"&amp;INDEX(DAY(Bills2[Date &lt;d&gt;]), (ROWS($B$1:$B6)-ROWS(Bills1[Date &lt;d&gt;]))), ""))), "")</f>
        <v/>
      </c>
      <c r="H7" s="130" t="str">
        <f>IF(IFERROR(INDEX(Bills1[Amount],ROWS($B$1:$B6)),IFERROR(INDEX(Bills2[Amount],(ROWS($B$1:$B6)-ROWS(Bills1[Amount]))),))&gt;0,-IFERROR(INDEX(Bills1[Amount],ROWS($B$1:$B6)),IFERROR(INDEX(Bills2[Amount],(ROWS($B$1:$B6)-ROWS(Bills1[Amount]))),)), "")</f>
        <v/>
      </c>
      <c r="J7" s="129" t="str">
        <f ca="1">IF(ISNUMBER(bills_curr_plus3[[#This Row],[bills]]), IF(OR(MONTH($G$2)=12, YEAR($G$2)=YEAR(TODAY())+1), IFERROR(MONTH($G$2+32)&amp;"/"&amp;INDEX(Bills1[Date &lt;d&gt;], ROWS($B$1:$B6))&amp;"/"&amp;$C$51, IFERROR(MONTH($G$2+32)&amp;"/"&amp;INDEX(DAY(Bills2[Date &lt;d&gt;]), (ROWS($B$1:$B6)-ROWS(Bills1[Date &lt;d&gt;])))&amp;"/"&amp;$C$51, "")), IFERROR(MONTH($G$2+32)&amp;"/"&amp;INDEX(Bills1[Date &lt;d&gt;], ROWS($B$1:$B6)), IFERROR(MONTH($G$2+32)&amp;"/"&amp;INDEX(DAY(Bills2[Date &lt;d&gt;]), (ROWS($B$1:$B6)-ROWS(Bills1[Date &lt;d&gt;]))), ""))), "")</f>
        <v/>
      </c>
      <c r="K7" s="130" t="str">
        <f>IF(IFERROR(INDEX(Bills1[Amount],ROWS($B$1:$B6)),IFERROR(INDEX(Bills2[Amount],(ROWS($B$1:$B6)-ROWS(Bills1[Amount]))),))&gt;0,-IFERROR(INDEX(Bills1[Amount],ROWS($B$1:$B6)),IFERROR(INDEX(Bills2[Amount],(ROWS($B$1:$B6)-ROWS(Bills1[Amount]))),)), "")</f>
        <v/>
      </c>
      <c r="M7" s="129" t="str">
        <f ca="1">IF(ISNUMBER(bills_curr_plus4[[#This Row],[bills]]), IF(OR(MONTH($J$2)=12, YEAR($J$2)=YEAR(TODAY())+1), IFERROR(MONTH($J$2+32)&amp;"/"&amp;INDEX(Bills1[Date &lt;d&gt;], ROWS($B$1:$B6))&amp;"/"&amp;$C$51, IFERROR(MONTH($J$2+32)&amp;"/"&amp;INDEX(DAY(Bills2[Date &lt;d&gt;]), (ROWS($B$1:$B6)-ROWS(Bills1[Date &lt;d&gt;])))&amp;"/"&amp;$C$51, "")), IFERROR(MONTH($J$2+32)&amp;"/"&amp;INDEX(Bills1[Date &lt;d&gt;], ROWS($B$1:$B6)), IFERROR(MONTH($J$2+32)&amp;"/"&amp;INDEX(DAY(Bills2[Date &lt;d&gt;]), (ROWS($B$1:$B6)-ROWS(Bills1[Date &lt;d&gt;]))), ""))), "")</f>
        <v/>
      </c>
      <c r="N7" s="130" t="str">
        <f>IF(IFERROR(INDEX(Bills1[Amount],ROWS($B$1:$B6)),IFERROR(INDEX(Bills2[Amount],(ROWS($B$1:$B6)-ROWS(Bills1[Amount]))),))&gt;0,-IFERROR(INDEX(Bills1[Amount],ROWS($B$1:$B6)),IFERROR(INDEX(Bills2[Amount],(ROWS($B$1:$B6)-ROWS(Bills1[Amount]))),)), "")</f>
        <v/>
      </c>
      <c r="P7" s="129" t="str">
        <f ca="1">IF(ISNUMBER(bills_curr_plus5[[#This Row],[bills]]), IF(OR(MONTH($M$2)=12, YEAR($M$2)=YEAR(TODAY())+1), IFERROR(MONTH($M$2+32)&amp;"/"&amp;INDEX(Bills1[Date &lt;d&gt;], ROWS($B$1:$B6))&amp;"/"&amp;$C$51, IFERROR(MONTH($M$2+32)&amp;"/"&amp;INDEX(DAY(Bills2[Date &lt;d&gt;]), (ROWS($B$1:$B6)-ROWS(Bills1[Date &lt;d&gt;])))&amp;"/"&amp;$C$51, "")), IFERROR(MONTH($M$2+32)&amp;"/"&amp;INDEX(Bills1[Date &lt;d&gt;], ROWS($B$1:$B6)), IFERROR(MONTH($M$2+32)&amp;"/"&amp;INDEX(DAY(Bills2[Date &lt;d&gt;]), (ROWS($B$1:$B6)-ROWS(Bills1[Date &lt;d&gt;]))), ""))), "")</f>
        <v/>
      </c>
      <c r="Q7" s="130" t="str">
        <f>IF(IFERROR(INDEX(Bills1[Amount],ROWS($B$1:$B6)),IFERROR(INDEX(Bills2[Amount],(ROWS($B$1:$B6)-ROWS(Bills1[Amount]))),))&gt;0,-IFERROR(INDEX(Bills1[Amount],ROWS($B$1:$B6)),IFERROR(INDEX(Bills2[Amount],(ROWS($B$1:$B6)-ROWS(Bills1[Amount]))),)), "")</f>
        <v/>
      </c>
      <c r="R7" s="130"/>
      <c r="S7" s="129" t="str">
        <f ca="1">IF(ISNUMBER(bills_curr_plus6[[#This Row],[bills]]),
IF(OR(MONTH($P$2)=12, YEAR($P$2)=YEAR(TODAY())+1),
IFERROR(MONTH($P$2+32)&amp;"/"&amp;INDEX(Bills1[Date &lt;d&gt;], ROWS($B$1:$B6))&amp;"/"&amp;$C$51,
IFERROR(MONTH($P$2+32)&amp;"/"&amp;INDEX(DAY(Bills2[Date &lt;d&gt;]), (ROWS($B$1:$B6)-ROWS(Bills1[Date &lt;d&gt;])))&amp;"/"&amp;$C$51, "")),
IFERROR(MONTH($P$2+32)&amp;"/"&amp;INDEX(Bills1[Date &lt;d&gt;], ROWS($B$1:$B6)),
IFERROR(MONTH($P$2+32)&amp;"/"&amp;INDEX(DAY(Bills2[Date &lt;d&gt;]), (ROWS($B$1:$B6)-ROWS(Bills1[Date &lt;d&gt;]))), ""))), "")</f>
        <v/>
      </c>
      <c r="T7" s="130" t="str">
        <f>IF(IFERROR(INDEX(Bills1[Amount],ROWS($B$1:$B6)),
IFERROR(INDEX(Bills2[Amount],(ROWS($B$1:$B6)-ROWS(Bills1[Amount]))),))&gt;0,
-IFERROR(INDEX(Bills1[Amount],ROWS($B$1:$B6)),
IFERROR(INDEX(Bills2[Amount],(ROWS($B$1:$B6)-ROWS(Bills1[Amount]))),)), "")</f>
        <v/>
      </c>
      <c r="V7" s="129">
        <v>43775</v>
      </c>
      <c r="W7" s="1">
        <f>DAY(income_future[[#This Row],[dates]])</f>
        <v>6</v>
      </c>
      <c r="X7" s="130">
        <f ca="1">SUMIF(income_curr[mod( )], MOD(V7, 14), income_curr[income])</f>
        <v>0</v>
      </c>
      <c r="Z7" s="132" t="str">
        <f ca="1">IF(TEXT(Table10[[#This Row],[dates]], "ddd")="Mon", 999999999, "")</f>
        <v/>
      </c>
      <c r="AA7" s="132" t="str">
        <f ca="1">IF(TODAY()=Table10[[#This Row],[dates]], TEXT(DATE(2019, MONTH(Table10[[#This Row],[dates]]), 1), "mmm"), IFERROR(IF(MONTH(Table10[[#This Row],[dates]])&lt;&gt;MONTH(AC6), TEXT(DATE(2019, MONTH(Table10[[#This Row],[dates]]), 1), "mmm"), ""), ""))</f>
        <v/>
      </c>
      <c r="AB7" s="133">
        <f ca="1">DAY('Data Preparation'!$AC7)</f>
        <v>15</v>
      </c>
      <c r="AC7" s="134">
        <f t="shared" ca="1" si="0"/>
        <v>43784</v>
      </c>
      <c r="AD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7" s="136">
        <f ca="1">IFERROR(
IF(MONTH(Table10[[#This Row],[dates]])&lt;&gt;MONTH($AC6), Table10[[#This Row],[delta $]]+AE6-SUM(Bills3[Amount]), N("deducts other bills at the end of each month")+
IF(Table10[[#This Row],[delta $]]&lt;&gt;0, Table10[[#This Row],[delta $]]+AE6,
AE6)),
"")</f>
        <v>1788</v>
      </c>
      <c r="AF7" s="136">
        <f ca="1">Table10[[#This Row],[sum per date]]-IF(MONTH(Table10[[#This Row],[dates]])=MONTH(TODAY()),
SUMIF(Bills3[Paid?], "&lt;&gt;Y", Bills3[Amount]), SUM(Bills3[Amount]))</f>
        <v>1668</v>
      </c>
      <c r="AG7" s="136">
        <f ca="1">IF(AND(
Table10[[#This Row],[fluctuation]]=MIN(INDEX(Table10[fluctuation], MATCH(TODAY(),Table10[dates], 0)):INDEX(Table10[fluctuation], MATCH(end_date,Table10[dates], 0))),
OR(ISNA(INDEX($AF$2:AF6, MATCH(Table10[[#This Row],[fluctuation]], $AF$2:AF6, 0))), ROW(AG7)=2)),
Table10[[#This Row],[fluctuation]],
NA())</f>
        <v>1668</v>
      </c>
      <c r="AI7" s="84">
        <f>IF(ISTEXT('Forms; Income &amp; Bills'!$E7), 'Forms; Income &amp; Bills'!$E7, )</f>
        <v>0</v>
      </c>
      <c r="AJ7" s="77"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7" s="72">
        <f ca="1">IF(ISTEXT(Income1[[#This Row],[Income]]), IF(TODAY()&gt;Income1[[#This Row],[On Date]]-1, "Y", ), )</f>
        <v>0</v>
      </c>
      <c r="AL7" s="34">
        <f>'Forms; Income &amp; Bills'!G7</f>
        <v>0</v>
      </c>
      <c r="AM7" s="9"/>
      <c r="AN7" s="84">
        <f>Income1[[#This Row],[Income]]</f>
        <v>0</v>
      </c>
      <c r="AO7" s="77" t="str">
        <f ca="1">IF(ISNUMBER(Income1[[#This Row],[On Date]]), Income1[[#This Row],[On Date]]+14, "")</f>
        <v/>
      </c>
      <c r="AP7" s="72">
        <f ca="1">IF(ISTEXT(Income2[[#This Row],[Income]]), IF(TODAY()&gt;Income2[[#This Row],[On Date]]-1, "Y", ), )</f>
        <v>0</v>
      </c>
      <c r="AQ7" s="75">
        <f>Income1[[#This Row],[Amount]]</f>
        <v>0</v>
      </c>
      <c r="AS7" s="84">
        <f>IF(ISTEXT(Income1[[#This Row],[Income]]), IF(Income3[[#This Row],[On Date]]&lt;&gt;"", Income1[[#This Row],[Income]], ), )</f>
        <v>0</v>
      </c>
      <c r="AT7" s="77" t="str">
        <f ca="1">IF(ISNUMBER(Income1[[#This Row],[On Date]]), IF(MONTH($AJ7+28)=MONTH($AJ7+14), $AJ7+28, ""), "")</f>
        <v/>
      </c>
      <c r="AU7" s="73">
        <f ca="1">IF(ISTEXT(Income3[[#This Row],[3rd checks]]), IF(TODAY()&gt;Income3[[#This Row],[On Date]]-1, "Y", ), )</f>
        <v>0</v>
      </c>
      <c r="AV7" s="17">
        <f>IF(ISTEXT(Income3[[#This Row],[3rd checks]]), Income1[[#This Row],[Amount]], )</f>
        <v>0</v>
      </c>
      <c r="AX7" s="137">
        <f ca="1">IF(ISNUMBER(income_curr[[#This Row],[income]]),
IFERROR(DATEVALUE(MONTH(TODAY())&amp;"/"&amp;INDEX(DAY(Income1[On Date]), ROWS(AY$2:$AY7))),
IFERROR(DATEVALUE(MONTH(TODAY())&amp;"/"&amp;INDEX(DAY(Income2[On Date]), ROWS(AY$2:$AY7)-ROWS(DAY(Income2[On Date])))),
IFERROR(DATEVALUE(MONTH(TODAY())&amp;"/"&amp;INDEX(DAY(Income3[On Date]), ROWS(AY$2:$AY7)-ROWS(DAY(Income2[On Date]))-ROWS(DAY(Income3[On Date])))), ))), )</f>
        <v>0</v>
      </c>
      <c r="AY7" s="140">
        <f ca="1">MOD(income_curr[[#This Row],[dates]], 14)</f>
        <v>0</v>
      </c>
      <c r="AZ7" s="130" t="str">
        <f>IF(IFERROR(INDEX(Income1[Amount],ROWS($AY$1:$AY6)),
IFERROR(INDEX(Income2[Amount],(ROWS($AY$1:$AY6)-ROWS(Income1[Amount]))),
IFERROR(INDEX(Income3[Amount],(ROWS($AY$1:$AY6)-ROWS(Income1[Amount])-ROWS(Income2[Amount]))),)))&gt;0,
IFERROR(INDEX(Income1[Amount],ROWS($AY$1:$AY6)),
IFERROR(INDEX(Income2[Amount],(ROWS($AY$1:$AY6)-ROWS(Income1[Amount]))),
IFERROR(INDEX(Income3[Amount],(ROWS($AY$1:$AY6)-ROWS(Income1[Amount])-ROWS(Income2[Amount]))),))), "")</f>
        <v/>
      </c>
    </row>
    <row r="8" spans="1:52" x14ac:dyDescent="0.25">
      <c r="A8" s="129" t="str">
        <f ca="1">IF(ISNUMBER(bills_curr_mo[[#This Row],[bills]]), IFERROR(MONTH(TODAY())&amp;"/"&amp;INDEX(Bills1[Date &lt;d&gt;], ROWS(B$1:$B7)), IFERROR(MONTH(TODAY())&amp;"/"&amp;INDEX(DAY(Bills2[Date &lt;d&gt;]), (ROWS(B$1:$B7)-ROWS(Bills1[Date &lt;d&gt;]))), "")), "")</f>
        <v/>
      </c>
      <c r="B8" s="130" t="str">
        <f>IF(IFERROR(INDEX(Bills1[Amount],ROWS($B$1:$B7)),IFERROR(INDEX(Bills2[Amount],(ROWS($B$1:$B7)-ROWS(Bills1[Amount]))),))&gt;0,-IFERROR(INDEX(Bills1[Amount],ROWS($B$1:$B7)),IFERROR(INDEX(Bills2[Amount],(ROWS($B$1:$B7)-ROWS(Bills1[Amount]))),)), "")</f>
        <v/>
      </c>
      <c r="D8" s="129" t="str">
        <f ca="1">IF(ISNUMBER(bills_curr_plus1[[#This Row],[bills]]), IF(OR(MONTH($A$2)=12, YEAR($A$2)=YEAR(TODAY())+1), IFERROR(MONTH($A$2+32)&amp;"/"&amp;INDEX(Bills1[Date &lt;d&gt;], ROWS($B$1:$B7))&amp;"/"&amp;$C$51, IFERROR(MONTH($A$2+32)&amp;"/"&amp;INDEX(DAY(Bills2[Date &lt;d&gt;]), (ROWS($B$1:$B7)-ROWS(Bills1[Date &lt;d&gt;])))&amp;"/"&amp;$C$51, "")), IFERROR(MONTH($A$2+32)&amp;"/"&amp;INDEX(Bills1[Date &lt;d&gt;], ROWS($B$1:$B7)), IFERROR(MONTH($A$2+32)&amp;"/"&amp;INDEX(DAY(Bills2[Date &lt;d&gt;]), (ROWS($B$1:$B7)-ROWS(Bills1[Date &lt;d&gt;]))), ""))), "")</f>
        <v/>
      </c>
      <c r="E8" s="130" t="str">
        <f>IF(IFERROR(INDEX(Bills1[Amount],ROWS($B$1:$B7)),IFERROR(INDEX(Bills2[Amount],(ROWS($B$1:$B7)-ROWS(Bills1[Amount]))),))&gt;0,-IFERROR(INDEX(Bills1[Amount],ROWS($B$1:$B7)),IFERROR(INDEX(Bills2[Amount],(ROWS($B$1:$B7)-ROWS(Bills1[Amount]))),)), "")</f>
        <v/>
      </c>
      <c r="G8" s="129" t="str">
        <f ca="1">IF(ISNUMBER(bills_curr_plus2[[#This Row],[bills]]), IF(OR(MONTH($D$2)=12, YEAR($D$2)=YEAR(TODAY())+1), IFERROR(MONTH($D$2+32)&amp;"/"&amp;INDEX(Bills1[Date &lt;d&gt;], ROWS($B$1:$B7))&amp;"/"&amp;$C$51, IFERROR(MONTH($D$2+32)&amp;"/"&amp;INDEX(DAY(Bills2[Date &lt;d&gt;]), (ROWS($B$1:$B7)-ROWS(Bills1[Date &lt;d&gt;])))&amp;"/"&amp;$C$51, "")), IFERROR(MONTH($D$2+32)&amp;"/"&amp;INDEX(Bills1[Date &lt;d&gt;], ROWS($B$1:$B7)), IFERROR(MONTH($D$2+32)&amp;"/"&amp;INDEX(DAY(Bills2[Date &lt;d&gt;]), (ROWS($B$1:$B7)-ROWS(Bills1[Date &lt;d&gt;]))), ""))), "")</f>
        <v/>
      </c>
      <c r="H8" s="130" t="str">
        <f>IF(IFERROR(INDEX(Bills1[Amount],ROWS($B$1:$B7)),IFERROR(INDEX(Bills2[Amount],(ROWS($B$1:$B7)-ROWS(Bills1[Amount]))),))&gt;0,-IFERROR(INDEX(Bills1[Amount],ROWS($B$1:$B7)),IFERROR(INDEX(Bills2[Amount],(ROWS($B$1:$B7)-ROWS(Bills1[Amount]))),)), "")</f>
        <v/>
      </c>
      <c r="J8" s="129" t="str">
        <f ca="1">IF(ISNUMBER(bills_curr_plus3[[#This Row],[bills]]), IF(OR(MONTH($G$2)=12, YEAR($G$2)=YEAR(TODAY())+1), IFERROR(MONTH($G$2+32)&amp;"/"&amp;INDEX(Bills1[Date &lt;d&gt;], ROWS($B$1:$B7))&amp;"/"&amp;$C$51, IFERROR(MONTH($G$2+32)&amp;"/"&amp;INDEX(DAY(Bills2[Date &lt;d&gt;]), (ROWS($B$1:$B7)-ROWS(Bills1[Date &lt;d&gt;])))&amp;"/"&amp;$C$51, "")), IFERROR(MONTH($G$2+32)&amp;"/"&amp;INDEX(Bills1[Date &lt;d&gt;], ROWS($B$1:$B7)), IFERROR(MONTH($G$2+32)&amp;"/"&amp;INDEX(DAY(Bills2[Date &lt;d&gt;]), (ROWS($B$1:$B7)-ROWS(Bills1[Date &lt;d&gt;]))), ""))), "")</f>
        <v/>
      </c>
      <c r="K8" s="130" t="str">
        <f>IF(IFERROR(INDEX(Bills1[Amount],ROWS($B$1:$B7)),IFERROR(INDEX(Bills2[Amount],(ROWS($B$1:$B7)-ROWS(Bills1[Amount]))),))&gt;0,-IFERROR(INDEX(Bills1[Amount],ROWS($B$1:$B7)),IFERROR(INDEX(Bills2[Amount],(ROWS($B$1:$B7)-ROWS(Bills1[Amount]))),)), "")</f>
        <v/>
      </c>
      <c r="M8" s="129" t="str">
        <f ca="1">IF(ISNUMBER(bills_curr_plus4[[#This Row],[bills]]), IF(OR(MONTH($J$2)=12, YEAR($J$2)=YEAR(TODAY())+1), IFERROR(MONTH($J$2+32)&amp;"/"&amp;INDEX(Bills1[Date &lt;d&gt;], ROWS($B$1:$B7))&amp;"/"&amp;$C$51, IFERROR(MONTH($J$2+32)&amp;"/"&amp;INDEX(DAY(Bills2[Date &lt;d&gt;]), (ROWS($B$1:$B7)-ROWS(Bills1[Date &lt;d&gt;])))&amp;"/"&amp;$C$51, "")), IFERROR(MONTH($J$2+32)&amp;"/"&amp;INDEX(Bills1[Date &lt;d&gt;], ROWS($B$1:$B7)), IFERROR(MONTH($J$2+32)&amp;"/"&amp;INDEX(DAY(Bills2[Date &lt;d&gt;]), (ROWS($B$1:$B7)-ROWS(Bills1[Date &lt;d&gt;]))), ""))), "")</f>
        <v/>
      </c>
      <c r="N8" s="130" t="str">
        <f>IF(IFERROR(INDEX(Bills1[Amount],ROWS($B$1:$B7)),IFERROR(INDEX(Bills2[Amount],(ROWS($B$1:$B7)-ROWS(Bills1[Amount]))),))&gt;0,-IFERROR(INDEX(Bills1[Amount],ROWS($B$1:$B7)),IFERROR(INDEX(Bills2[Amount],(ROWS($B$1:$B7)-ROWS(Bills1[Amount]))),)), "")</f>
        <v/>
      </c>
      <c r="P8" s="129" t="str">
        <f ca="1">IF(ISNUMBER(bills_curr_plus5[[#This Row],[bills]]), IF(OR(MONTH($M$2)=12, YEAR($M$2)=YEAR(TODAY())+1), IFERROR(MONTH($M$2+32)&amp;"/"&amp;INDEX(Bills1[Date &lt;d&gt;], ROWS($B$1:$B7))&amp;"/"&amp;$C$51, IFERROR(MONTH($M$2+32)&amp;"/"&amp;INDEX(DAY(Bills2[Date &lt;d&gt;]), (ROWS($B$1:$B7)-ROWS(Bills1[Date &lt;d&gt;])))&amp;"/"&amp;$C$51, "")), IFERROR(MONTH($M$2+32)&amp;"/"&amp;INDEX(Bills1[Date &lt;d&gt;], ROWS($B$1:$B7)), IFERROR(MONTH($M$2+32)&amp;"/"&amp;INDEX(DAY(Bills2[Date &lt;d&gt;]), (ROWS($B$1:$B7)-ROWS(Bills1[Date &lt;d&gt;]))), ""))), "")</f>
        <v/>
      </c>
      <c r="Q8" s="130" t="str">
        <f>IF(IFERROR(INDEX(Bills1[Amount],ROWS($B$1:$B7)),IFERROR(INDEX(Bills2[Amount],(ROWS($B$1:$B7)-ROWS(Bills1[Amount]))),))&gt;0,-IFERROR(INDEX(Bills1[Amount],ROWS($B$1:$B7)),IFERROR(INDEX(Bills2[Amount],(ROWS($B$1:$B7)-ROWS(Bills1[Amount]))),)), "")</f>
        <v/>
      </c>
      <c r="R8" s="130"/>
      <c r="S8" s="129" t="str">
        <f ca="1">IF(ISNUMBER(bills_curr_plus6[[#This Row],[bills]]),
IF(OR(MONTH($P$2)=12, YEAR($P$2)=YEAR(TODAY())+1),
IFERROR(MONTH($P$2+32)&amp;"/"&amp;INDEX(Bills1[Date &lt;d&gt;], ROWS($B$1:$B7))&amp;"/"&amp;$C$51,
IFERROR(MONTH($P$2+32)&amp;"/"&amp;INDEX(DAY(Bills2[Date &lt;d&gt;]), (ROWS($B$1:$B7)-ROWS(Bills1[Date &lt;d&gt;])))&amp;"/"&amp;$C$51, "")),
IFERROR(MONTH($P$2+32)&amp;"/"&amp;INDEX(Bills1[Date &lt;d&gt;], ROWS($B$1:$B7)),
IFERROR(MONTH($P$2+32)&amp;"/"&amp;INDEX(DAY(Bills2[Date &lt;d&gt;]), (ROWS($B$1:$B7)-ROWS(Bills1[Date &lt;d&gt;]))), ""))), "")</f>
        <v/>
      </c>
      <c r="T8" s="130" t="str">
        <f>IF(IFERROR(INDEX(Bills1[Amount],ROWS($B$1:$B7)),
IFERROR(INDEX(Bills2[Amount],(ROWS($B$1:$B7)-ROWS(Bills1[Amount]))),))&gt;0,
-IFERROR(INDEX(Bills1[Amount],ROWS($B$1:$B7)),
IFERROR(INDEX(Bills2[Amount],(ROWS($B$1:$B7)-ROWS(Bills1[Amount]))),)), "")</f>
        <v/>
      </c>
      <c r="V8" s="129">
        <v>43776</v>
      </c>
      <c r="W8" s="1">
        <f>DAY(income_future[[#This Row],[dates]])</f>
        <v>7</v>
      </c>
      <c r="X8" s="130">
        <f ca="1">SUMIF(income_curr[mod( )], MOD(V8, 14), income_curr[income])</f>
        <v>0</v>
      </c>
      <c r="Z8" s="132" t="str">
        <f ca="1">IF(TEXT(Table10[[#This Row],[dates]], "ddd")="Mon", 999999999, "")</f>
        <v/>
      </c>
      <c r="AA8" s="132" t="str">
        <f ca="1">IF(TODAY()=Table10[[#This Row],[dates]], TEXT(DATE(2019, MONTH(Table10[[#This Row],[dates]]), 1), "mmm"), IFERROR(IF(MONTH(Table10[[#This Row],[dates]])&lt;&gt;MONTH(AC7), TEXT(DATE(2019, MONTH(Table10[[#This Row],[dates]]), 1), "mmm"), ""), ""))</f>
        <v/>
      </c>
      <c r="AB8" s="133">
        <f ca="1">DAY('Data Preparation'!$AC8)</f>
        <v>16</v>
      </c>
      <c r="AC8" s="134">
        <f t="shared" ca="1" si="0"/>
        <v>43785</v>
      </c>
      <c r="AD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8" s="136">
        <f ca="1">IFERROR(
IF(MONTH(Table10[[#This Row],[dates]])&lt;&gt;MONTH($AC7), Table10[[#This Row],[delta $]]+AE7-SUM(Bills3[Amount]), N("deducts other bills at the end of each month")+
IF(Table10[[#This Row],[delta $]]&lt;&gt;0, Table10[[#This Row],[delta $]]+AE7,
AE7)),
"")</f>
        <v>2788</v>
      </c>
      <c r="AF8" s="136">
        <f ca="1">Table10[[#This Row],[sum per date]]-IF(MONTH(Table10[[#This Row],[dates]])=MONTH(TODAY()),
SUMIF(Bills3[Paid?], "&lt;&gt;Y", Bills3[Amount]), SUM(Bills3[Amount]))</f>
        <v>2668</v>
      </c>
      <c r="AG8" s="136" t="e">
        <f ca="1">IF(AND(
Table10[[#This Row],[fluctuation]]=MIN(INDEX(Table10[fluctuation], MATCH(TODAY(),Table10[dates], 0)):INDEX(Table10[fluctuation], MATCH(end_date,Table10[dates], 0))),
OR(ISNA(INDEX($AF$2:AF7, MATCH(Table10[[#This Row],[fluctuation]], $AF$2:AF7, 0))), ROW(AG8)=2)),
Table10[[#This Row],[fluctuation]],
NA())</f>
        <v>#N/A</v>
      </c>
      <c r="AI8" s="84">
        <f>IF(ISTEXT('Forms; Income &amp; Bills'!$E8), 'Forms; Income &amp; Bills'!$E8, )</f>
        <v>0</v>
      </c>
      <c r="AJ8" s="77"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8" s="72">
        <f ca="1">IF(ISTEXT(Income1[[#This Row],[Income]]), IF(TODAY()&gt;Income1[[#This Row],[On Date]]-1, "Y", ), )</f>
        <v>0</v>
      </c>
      <c r="AL8" s="34">
        <f>'Forms; Income &amp; Bills'!G8</f>
        <v>0</v>
      </c>
      <c r="AM8" s="9"/>
      <c r="AN8" s="84">
        <f>Income1[[#This Row],[Income]]</f>
        <v>0</v>
      </c>
      <c r="AO8" s="77" t="str">
        <f ca="1">IF(ISNUMBER(Income1[[#This Row],[On Date]]), Income1[[#This Row],[On Date]]+14, "")</f>
        <v/>
      </c>
      <c r="AP8" s="72">
        <f ca="1">IF(ISTEXT(Income2[[#This Row],[Income]]), IF(TODAY()&gt;Income2[[#This Row],[On Date]]-1, "Y", ), )</f>
        <v>0</v>
      </c>
      <c r="AQ8" s="75">
        <f>Income1[[#This Row],[Amount]]</f>
        <v>0</v>
      </c>
      <c r="AS8" s="84">
        <f>IF(ISTEXT(Income1[[#This Row],[Income]]), IF(Income3[[#This Row],[On Date]]&lt;&gt;"", Income1[[#This Row],[Income]], ), )</f>
        <v>0</v>
      </c>
      <c r="AT8" s="77" t="str">
        <f ca="1">IF(ISNUMBER(Income1[[#This Row],[On Date]]), IF(MONTH($AJ8+28)=MONTH($AJ8+14), $AJ8+28, ""), "")</f>
        <v/>
      </c>
      <c r="AU8" s="73">
        <f ca="1">IF(ISTEXT(Income3[[#This Row],[3rd checks]]), IF(TODAY()&gt;Income3[[#This Row],[On Date]]-1, "Y", ), )</f>
        <v>0</v>
      </c>
      <c r="AV8" s="17">
        <f>IF(ISTEXT(Income3[[#This Row],[3rd checks]]), Income1[[#This Row],[Amount]], )</f>
        <v>0</v>
      </c>
      <c r="AX8" s="137">
        <f ca="1">IF(ISNUMBER(income_curr[[#This Row],[income]]),
IFERROR(DATEVALUE(MONTH(TODAY())&amp;"/"&amp;INDEX(DAY(Income1[On Date]), ROWS(AY$2:$AY8))),
IFERROR(DATEVALUE(MONTH(TODAY())&amp;"/"&amp;INDEX(DAY(Income2[On Date]), ROWS(AY$2:$AY8)-ROWS(DAY(Income2[On Date])))),
IFERROR(DATEVALUE(MONTH(TODAY())&amp;"/"&amp;INDEX(DAY(Income3[On Date]), ROWS(AY$2:$AY8)-ROWS(DAY(Income2[On Date]))-ROWS(DAY(Income3[On Date])))), ))), )</f>
        <v>0</v>
      </c>
      <c r="AY8" s="140">
        <f ca="1">MOD(income_curr[[#This Row],[dates]], 14)</f>
        <v>0</v>
      </c>
      <c r="AZ8" s="130" t="str">
        <f>IF(IFERROR(INDEX(Income1[Amount],ROWS($AY$1:$AY7)),
IFERROR(INDEX(Income2[Amount],(ROWS($AY$1:$AY7)-ROWS(Income1[Amount]))),
IFERROR(INDEX(Income3[Amount],(ROWS($AY$1:$AY7)-ROWS(Income1[Amount])-ROWS(Income2[Amount]))),)))&gt;0,
IFERROR(INDEX(Income1[Amount],ROWS($AY$1:$AY7)),
IFERROR(INDEX(Income2[Amount],(ROWS($AY$1:$AY7)-ROWS(Income1[Amount]))),
IFERROR(INDEX(Income3[Amount],(ROWS($AY$1:$AY7)-ROWS(Income1[Amount])-ROWS(Income2[Amount]))),))), "")</f>
        <v/>
      </c>
    </row>
    <row r="9" spans="1:52" x14ac:dyDescent="0.25">
      <c r="A9" s="129" t="str">
        <f ca="1">IF(ISNUMBER(bills_curr_mo[[#This Row],[bills]]), IFERROR(MONTH(TODAY())&amp;"/"&amp;INDEX(Bills1[Date &lt;d&gt;], ROWS(B$1:$B8)), IFERROR(MONTH(TODAY())&amp;"/"&amp;INDEX(DAY(Bills2[Date &lt;d&gt;]), (ROWS(B$1:$B8)-ROWS(Bills1[Date &lt;d&gt;]))), "")), "")</f>
        <v/>
      </c>
      <c r="B9" s="130" t="str">
        <f>IF(IFERROR(INDEX(Bills1[Amount],ROWS($B$1:$B8)),IFERROR(INDEX(Bills2[Amount],(ROWS($B$1:$B8)-ROWS(Bills1[Amount]))),))&gt;0,-IFERROR(INDEX(Bills1[Amount],ROWS($B$1:$B8)),IFERROR(INDEX(Bills2[Amount],(ROWS($B$1:$B8)-ROWS(Bills1[Amount]))),)), "")</f>
        <v/>
      </c>
      <c r="D9" s="129" t="str">
        <f ca="1">IF(ISNUMBER(bills_curr_plus1[[#This Row],[bills]]), IF(OR(MONTH($A$2)=12, YEAR($A$2)=YEAR(TODAY())+1), IFERROR(MONTH($A$2+32)&amp;"/"&amp;INDEX(Bills1[Date &lt;d&gt;], ROWS($B$1:$B8))&amp;"/"&amp;$C$51, IFERROR(MONTH($A$2+32)&amp;"/"&amp;INDEX(DAY(Bills2[Date &lt;d&gt;]), (ROWS($B$1:$B8)-ROWS(Bills1[Date &lt;d&gt;])))&amp;"/"&amp;$C$51, "")), IFERROR(MONTH($A$2+32)&amp;"/"&amp;INDEX(Bills1[Date &lt;d&gt;], ROWS($B$1:$B8)), IFERROR(MONTH($A$2+32)&amp;"/"&amp;INDEX(DAY(Bills2[Date &lt;d&gt;]), (ROWS($B$1:$B8)-ROWS(Bills1[Date &lt;d&gt;]))), ""))), "")</f>
        <v/>
      </c>
      <c r="E9" s="130" t="str">
        <f>IF(IFERROR(INDEX(Bills1[Amount],ROWS($B$1:$B8)),IFERROR(INDEX(Bills2[Amount],(ROWS($B$1:$B8)-ROWS(Bills1[Amount]))),))&gt;0,-IFERROR(INDEX(Bills1[Amount],ROWS($B$1:$B8)),IFERROR(INDEX(Bills2[Amount],(ROWS($B$1:$B8)-ROWS(Bills1[Amount]))),)), "")</f>
        <v/>
      </c>
      <c r="G9" s="129" t="str">
        <f ca="1">IF(ISNUMBER(bills_curr_plus2[[#This Row],[bills]]), IF(OR(MONTH($D$2)=12, YEAR($D$2)=YEAR(TODAY())+1), IFERROR(MONTH($D$2+32)&amp;"/"&amp;INDEX(Bills1[Date &lt;d&gt;], ROWS($B$1:$B8))&amp;"/"&amp;$C$51, IFERROR(MONTH($D$2+32)&amp;"/"&amp;INDEX(DAY(Bills2[Date &lt;d&gt;]), (ROWS($B$1:$B8)-ROWS(Bills1[Date &lt;d&gt;])))&amp;"/"&amp;$C$51, "")), IFERROR(MONTH($D$2+32)&amp;"/"&amp;INDEX(Bills1[Date &lt;d&gt;], ROWS($B$1:$B8)), IFERROR(MONTH($D$2+32)&amp;"/"&amp;INDEX(DAY(Bills2[Date &lt;d&gt;]), (ROWS($B$1:$B8)-ROWS(Bills1[Date &lt;d&gt;]))), ""))), "")</f>
        <v/>
      </c>
      <c r="H9" s="130" t="str">
        <f>IF(IFERROR(INDEX(Bills1[Amount],ROWS($B$1:$B8)),IFERROR(INDEX(Bills2[Amount],(ROWS($B$1:$B8)-ROWS(Bills1[Amount]))),))&gt;0,-IFERROR(INDEX(Bills1[Amount],ROWS($B$1:$B8)),IFERROR(INDEX(Bills2[Amount],(ROWS($B$1:$B8)-ROWS(Bills1[Amount]))),)), "")</f>
        <v/>
      </c>
      <c r="J9" s="129" t="str">
        <f ca="1">IF(ISNUMBER(bills_curr_plus3[[#This Row],[bills]]), IF(OR(MONTH($G$2)=12, YEAR($G$2)=YEAR(TODAY())+1), IFERROR(MONTH($G$2+32)&amp;"/"&amp;INDEX(Bills1[Date &lt;d&gt;], ROWS($B$1:$B8))&amp;"/"&amp;$C$51, IFERROR(MONTH($G$2+32)&amp;"/"&amp;INDEX(DAY(Bills2[Date &lt;d&gt;]), (ROWS($B$1:$B8)-ROWS(Bills1[Date &lt;d&gt;])))&amp;"/"&amp;$C$51, "")), IFERROR(MONTH($G$2+32)&amp;"/"&amp;INDEX(Bills1[Date &lt;d&gt;], ROWS($B$1:$B8)), IFERROR(MONTH($G$2+32)&amp;"/"&amp;INDEX(DAY(Bills2[Date &lt;d&gt;]), (ROWS($B$1:$B8)-ROWS(Bills1[Date &lt;d&gt;]))), ""))), "")</f>
        <v/>
      </c>
      <c r="K9" s="130" t="str">
        <f>IF(IFERROR(INDEX(Bills1[Amount],ROWS($B$1:$B8)),IFERROR(INDEX(Bills2[Amount],(ROWS($B$1:$B8)-ROWS(Bills1[Amount]))),))&gt;0,-IFERROR(INDEX(Bills1[Amount],ROWS($B$1:$B8)),IFERROR(INDEX(Bills2[Amount],(ROWS($B$1:$B8)-ROWS(Bills1[Amount]))),)), "")</f>
        <v/>
      </c>
      <c r="M9" s="129" t="str">
        <f ca="1">IF(ISNUMBER(bills_curr_plus4[[#This Row],[bills]]), IF(OR(MONTH($J$2)=12, YEAR($J$2)=YEAR(TODAY())+1), IFERROR(MONTH($J$2+32)&amp;"/"&amp;INDEX(Bills1[Date &lt;d&gt;], ROWS($B$1:$B8))&amp;"/"&amp;$C$51, IFERROR(MONTH($J$2+32)&amp;"/"&amp;INDEX(DAY(Bills2[Date &lt;d&gt;]), (ROWS($B$1:$B8)-ROWS(Bills1[Date &lt;d&gt;])))&amp;"/"&amp;$C$51, "")), IFERROR(MONTH($J$2+32)&amp;"/"&amp;INDEX(Bills1[Date &lt;d&gt;], ROWS($B$1:$B8)), IFERROR(MONTH($J$2+32)&amp;"/"&amp;INDEX(DAY(Bills2[Date &lt;d&gt;]), (ROWS($B$1:$B8)-ROWS(Bills1[Date &lt;d&gt;]))), ""))), "")</f>
        <v/>
      </c>
      <c r="N9" s="130" t="str">
        <f>IF(IFERROR(INDEX(Bills1[Amount],ROWS($B$1:$B8)),IFERROR(INDEX(Bills2[Amount],(ROWS($B$1:$B8)-ROWS(Bills1[Amount]))),))&gt;0,-IFERROR(INDEX(Bills1[Amount],ROWS($B$1:$B8)),IFERROR(INDEX(Bills2[Amount],(ROWS($B$1:$B8)-ROWS(Bills1[Amount]))),)), "")</f>
        <v/>
      </c>
      <c r="P9" s="129" t="str">
        <f ca="1">IF(ISNUMBER(bills_curr_plus5[[#This Row],[bills]]), IF(OR(MONTH($M$2)=12, YEAR($M$2)=YEAR(TODAY())+1), IFERROR(MONTH($M$2+32)&amp;"/"&amp;INDEX(Bills1[Date &lt;d&gt;], ROWS($B$1:$B8))&amp;"/"&amp;$C$51, IFERROR(MONTH($M$2+32)&amp;"/"&amp;INDEX(DAY(Bills2[Date &lt;d&gt;]), (ROWS($B$1:$B8)-ROWS(Bills1[Date &lt;d&gt;])))&amp;"/"&amp;$C$51, "")), IFERROR(MONTH($M$2+32)&amp;"/"&amp;INDEX(Bills1[Date &lt;d&gt;], ROWS($B$1:$B8)), IFERROR(MONTH($M$2+32)&amp;"/"&amp;INDEX(DAY(Bills2[Date &lt;d&gt;]), (ROWS($B$1:$B8)-ROWS(Bills1[Date &lt;d&gt;]))), ""))), "")</f>
        <v/>
      </c>
      <c r="Q9" s="130" t="str">
        <f>IF(IFERROR(INDEX(Bills1[Amount],ROWS($B$1:$B8)),IFERROR(INDEX(Bills2[Amount],(ROWS($B$1:$B8)-ROWS(Bills1[Amount]))),))&gt;0,-IFERROR(INDEX(Bills1[Amount],ROWS($B$1:$B8)),IFERROR(INDEX(Bills2[Amount],(ROWS($B$1:$B8)-ROWS(Bills1[Amount]))),)), "")</f>
        <v/>
      </c>
      <c r="R9" s="130"/>
      <c r="S9" s="129" t="str">
        <f ca="1">IF(ISNUMBER(bills_curr_plus6[[#This Row],[bills]]),
IF(OR(MONTH($P$2)=12, YEAR($P$2)=YEAR(TODAY())+1),
IFERROR(MONTH($P$2+32)&amp;"/"&amp;INDEX(Bills1[Date &lt;d&gt;], ROWS($B$1:$B8))&amp;"/"&amp;$C$51,
IFERROR(MONTH($P$2+32)&amp;"/"&amp;INDEX(DAY(Bills2[Date &lt;d&gt;]), (ROWS($B$1:$B8)-ROWS(Bills1[Date &lt;d&gt;])))&amp;"/"&amp;$C$51, "")),
IFERROR(MONTH($P$2+32)&amp;"/"&amp;INDEX(Bills1[Date &lt;d&gt;], ROWS($B$1:$B8)),
IFERROR(MONTH($P$2+32)&amp;"/"&amp;INDEX(DAY(Bills2[Date &lt;d&gt;]), (ROWS($B$1:$B8)-ROWS(Bills1[Date &lt;d&gt;]))), ""))), "")</f>
        <v/>
      </c>
      <c r="T9" s="130" t="str">
        <f>IF(IFERROR(INDEX(Bills1[Amount],ROWS($B$1:$B8)),
IFERROR(INDEX(Bills2[Amount],(ROWS($B$1:$B8)-ROWS(Bills1[Amount]))),))&gt;0,
-IFERROR(INDEX(Bills1[Amount],ROWS($B$1:$B8)),
IFERROR(INDEX(Bills2[Amount],(ROWS($B$1:$B8)-ROWS(Bills1[Amount]))),)), "")</f>
        <v/>
      </c>
      <c r="V9" s="129">
        <v>43777</v>
      </c>
      <c r="W9" s="1">
        <f>DAY(income_future[[#This Row],[dates]])</f>
        <v>8</v>
      </c>
      <c r="X9" s="130">
        <f ca="1">SUMIF(income_curr[mod( )], MOD(V9, 14), income_curr[income])</f>
        <v>0</v>
      </c>
      <c r="Z9" s="132" t="str">
        <f ca="1">IF(TEXT(Table10[[#This Row],[dates]], "ddd")="Mon", 999999999, "")</f>
        <v/>
      </c>
      <c r="AA9" s="132" t="str">
        <f ca="1">IF(TODAY()=Table10[[#This Row],[dates]], TEXT(DATE(2019, MONTH(Table10[[#This Row],[dates]]), 1), "mmm"), IFERROR(IF(MONTH(Table10[[#This Row],[dates]])&lt;&gt;MONTH(AC8), TEXT(DATE(2019, MONTH(Table10[[#This Row],[dates]]), 1), "mmm"), ""), ""))</f>
        <v/>
      </c>
      <c r="AB9" s="133">
        <f ca="1">DAY('Data Preparation'!$AC9)</f>
        <v>17</v>
      </c>
      <c r="AC9" s="134">
        <f t="shared" ca="1" si="0"/>
        <v>43786</v>
      </c>
      <c r="AD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 s="136">
        <f ca="1">IFERROR(
IF(MONTH(Table10[[#This Row],[dates]])&lt;&gt;MONTH($AC8), Table10[[#This Row],[delta $]]+AE8-SUM(Bills3[Amount]), N("deducts other bills at the end of each month")+
IF(Table10[[#This Row],[delta $]]&lt;&gt;0, Table10[[#This Row],[delta $]]+AE8,
AE8)),
"")</f>
        <v>2788</v>
      </c>
      <c r="AF9" s="136">
        <f ca="1">Table10[[#This Row],[sum per date]]-IF(MONTH(Table10[[#This Row],[dates]])=MONTH(TODAY()),
SUMIF(Bills3[Paid?], "&lt;&gt;Y", Bills3[Amount]), SUM(Bills3[Amount]))</f>
        <v>2668</v>
      </c>
      <c r="AG9" s="136" t="e">
        <f ca="1">IF(AND(
Table10[[#This Row],[fluctuation]]=MIN(INDEX(Table10[fluctuation], MATCH(TODAY(),Table10[dates], 0)):INDEX(Table10[fluctuation], MATCH(end_date,Table10[dates], 0))),
OR(ISNA(INDEX($AF$2:AF8, MATCH(Table10[[#This Row],[fluctuation]], $AF$2:AF8, 0))), ROW(AG9)=2)),
Table10[[#This Row],[fluctuation]],
NA())</f>
        <v>#N/A</v>
      </c>
      <c r="AI9" s="84">
        <f>IF(ISTEXT('Forms; Income &amp; Bills'!$E9), 'Forms; Income &amp; Bills'!$E9, )</f>
        <v>0</v>
      </c>
      <c r="AJ9" s="77" t="str">
        <f ca="1">IF(ISTEXT(Income1[[#This Row],[Income]]),
IF(MONTH(TODAY()+14-MOD(TODAY()-MOD(Income[[#This Row],[Last Paid]], 14), 14)-42)=MONTH(TODAY()),
TODAY()+14-MOD(TODAY()-MOD(Income[[#This Row],[Last Paid]], 14), 14)-42,
IF(MONTH(TODAY()+14-MOD(TODAY()-MOD(Income[[#This Row],[Last Paid]], 14), 14)-28)=MONTH(TODAY()),
TODAY()+14-MOD(TODAY()-MOD(Income[[#This Row],[Last Paid]], 14), 14)-28,
IF(MONTH(TODAY()+14-MOD(TODAY()-MOD(Income[[#This Row],[Last Paid]], 14), 14)-14)=MONTH(TODAY()),
TODAY()+14-MOD(TODAY()-MOD(Income[[#This Row],[Last Paid]], 14), 14)-14,
TODAY()+14-MOD(TODAY()-MOD(Income[[#This Row],[Last Paid]], 14), 14)))), "")</f>
        <v/>
      </c>
      <c r="AK9" s="74">
        <f ca="1">IF(ISTEXT(Income1[[#This Row],[Income]]), IF(TODAY()&gt;Income1[[#This Row],[On Date]]-1, "Y", ), )</f>
        <v>0</v>
      </c>
      <c r="AL9" s="71">
        <f>'Forms; Income &amp; Bills'!G9</f>
        <v>0</v>
      </c>
      <c r="AM9" s="9"/>
      <c r="AN9" s="87">
        <f>Income1[[#This Row],[Income]]</f>
        <v>0</v>
      </c>
      <c r="AO9" s="78" t="str">
        <f ca="1">IF(ISNUMBER(Income1[[#This Row],[On Date]]), Income1[[#This Row],[On Date]]+14, "")</f>
        <v/>
      </c>
      <c r="AP9" s="74">
        <f ca="1">IF(ISTEXT(Income2[[#This Row],[Income]]), IF(TODAY()&gt;Income2[[#This Row],[On Date]]-1, "Y", ), )</f>
        <v>0</v>
      </c>
      <c r="AQ9" s="76">
        <f>Income1[[#This Row],[Amount]]</f>
        <v>0</v>
      </c>
      <c r="AS9" s="84">
        <f>IF(ISTEXT(Income1[[#This Row],[Income]]), IF(Income3[[#This Row],[On Date]]&lt;&gt;"", Income1[[#This Row],[Income]], ), )</f>
        <v>0</v>
      </c>
      <c r="AT9" s="77" t="str">
        <f ca="1">IF(ISNUMBER(Income1[[#This Row],[On Date]]), IF(MONTH($AJ9+28)=MONTH($AJ9+14), $AJ9+28, ""), "")</f>
        <v/>
      </c>
      <c r="AU9" s="73">
        <f ca="1">IF(ISTEXT(Income3[[#This Row],[3rd checks]]), IF(TODAY()&gt;Income3[[#This Row],[On Date]]-1, "Y", ), )</f>
        <v>0</v>
      </c>
      <c r="AV9" s="17">
        <f>IF(ISTEXT(Income3[[#This Row],[3rd checks]]), Income1[[#This Row],[Amount]], )</f>
        <v>0</v>
      </c>
      <c r="AX9" s="137">
        <f ca="1">IF(ISNUMBER(income_curr[[#This Row],[income]]),
IFERROR(DATEVALUE(MONTH(TODAY())&amp;"/"&amp;INDEX(DAY(Income1[On Date]), ROWS(AY$2:$AY9))),
IFERROR(DATEVALUE(MONTH(TODAY())&amp;"/"&amp;INDEX(DAY(Income2[On Date]), ROWS(AY$2:$AY9)-ROWS(DAY(Income2[On Date])))),
IFERROR(DATEVALUE(MONTH(TODAY())&amp;"/"&amp;INDEX(DAY(Income3[On Date]), ROWS(AY$2:$AY9)-ROWS(DAY(Income2[On Date]))-ROWS(DAY(Income3[On Date])))), ))), )</f>
        <v>0</v>
      </c>
      <c r="AY9" s="140">
        <f ca="1">MOD(income_curr[[#This Row],[dates]], 14)</f>
        <v>0</v>
      </c>
      <c r="AZ9" s="130" t="str">
        <f>IF(IFERROR(INDEX(Income1[Amount],ROWS($AY$1:$AY8)),
IFERROR(INDEX(Income2[Amount],(ROWS($AY$1:$AY8)-ROWS(Income1[Amount]))),
IFERROR(INDEX(Income3[Amount],(ROWS($AY$1:$AY8)-ROWS(Income1[Amount])-ROWS(Income2[Amount]))),)))&gt;0,
IFERROR(INDEX(Income1[Amount],ROWS($AY$1:$AY8)),
IFERROR(INDEX(Income2[Amount],(ROWS($AY$1:$AY8)-ROWS(Income1[Amount]))),
IFERROR(INDEX(Income3[Amount],(ROWS($AY$1:$AY8)-ROWS(Income1[Amount])-ROWS(Income2[Amount]))),))), "")</f>
        <v/>
      </c>
    </row>
    <row r="10" spans="1:52" x14ac:dyDescent="0.25">
      <c r="A10" s="129" t="str">
        <f ca="1">IF(ISNUMBER(bills_curr_mo[[#This Row],[bills]]), IFERROR(MONTH(TODAY())&amp;"/"&amp;INDEX(Bills1[Date &lt;d&gt;], ROWS(B$1:$B9)), IFERROR(MONTH(TODAY())&amp;"/"&amp;INDEX(DAY(Bills2[Date &lt;d&gt;]), (ROWS(B$1:$B9)-ROWS(Bills1[Date &lt;d&gt;]))), "")), "")</f>
        <v/>
      </c>
      <c r="B10" s="130" t="str">
        <f>IF(IFERROR(INDEX(Bills1[Amount],ROWS($B$1:$B9)),IFERROR(INDEX(Bills2[Amount],(ROWS($B$1:$B9)-ROWS(Bills1[Amount]))),))&gt;0,-IFERROR(INDEX(Bills1[Amount],ROWS($B$1:$B9)),IFERROR(INDEX(Bills2[Amount],(ROWS($B$1:$B9)-ROWS(Bills1[Amount]))),)), "")</f>
        <v/>
      </c>
      <c r="D10" s="129" t="str">
        <f ca="1">IF(ISNUMBER(bills_curr_plus1[[#This Row],[bills]]), IF(OR(MONTH($A$2)=12, YEAR($A$2)=YEAR(TODAY())+1), IFERROR(MONTH($A$2+32)&amp;"/"&amp;INDEX(Bills1[Date &lt;d&gt;], ROWS($B$1:$B9))&amp;"/"&amp;$C$51, IFERROR(MONTH($A$2+32)&amp;"/"&amp;INDEX(DAY(Bills2[Date &lt;d&gt;]), (ROWS($B$1:$B9)-ROWS(Bills1[Date &lt;d&gt;])))&amp;"/"&amp;$C$51, "")), IFERROR(MONTH($A$2+32)&amp;"/"&amp;INDEX(Bills1[Date &lt;d&gt;], ROWS($B$1:$B9)), IFERROR(MONTH($A$2+32)&amp;"/"&amp;INDEX(DAY(Bills2[Date &lt;d&gt;]), (ROWS($B$1:$B9)-ROWS(Bills1[Date &lt;d&gt;]))), ""))), "")</f>
        <v/>
      </c>
      <c r="E10" s="130" t="str">
        <f>IF(IFERROR(INDEX(Bills1[Amount],ROWS($B$1:$B9)),IFERROR(INDEX(Bills2[Amount],(ROWS($B$1:$B9)-ROWS(Bills1[Amount]))),))&gt;0,-IFERROR(INDEX(Bills1[Amount],ROWS($B$1:$B9)),IFERROR(INDEX(Bills2[Amount],(ROWS($B$1:$B9)-ROWS(Bills1[Amount]))),)), "")</f>
        <v/>
      </c>
      <c r="G10" s="129" t="str">
        <f ca="1">IF(ISNUMBER(bills_curr_plus2[[#This Row],[bills]]), IF(OR(MONTH($D$2)=12, YEAR($D$2)=YEAR(TODAY())+1), IFERROR(MONTH($D$2+32)&amp;"/"&amp;INDEX(Bills1[Date &lt;d&gt;], ROWS($B$1:$B9))&amp;"/"&amp;$C$51, IFERROR(MONTH($D$2+32)&amp;"/"&amp;INDEX(DAY(Bills2[Date &lt;d&gt;]), (ROWS($B$1:$B9)-ROWS(Bills1[Date &lt;d&gt;])))&amp;"/"&amp;$C$51, "")), IFERROR(MONTH($D$2+32)&amp;"/"&amp;INDEX(Bills1[Date &lt;d&gt;], ROWS($B$1:$B9)), IFERROR(MONTH($D$2+32)&amp;"/"&amp;INDEX(DAY(Bills2[Date &lt;d&gt;]), (ROWS($B$1:$B9)-ROWS(Bills1[Date &lt;d&gt;]))), ""))), "")</f>
        <v/>
      </c>
      <c r="H10" s="130" t="str">
        <f>IF(IFERROR(INDEX(Bills1[Amount],ROWS($B$1:$B9)),IFERROR(INDEX(Bills2[Amount],(ROWS($B$1:$B9)-ROWS(Bills1[Amount]))),))&gt;0,-IFERROR(INDEX(Bills1[Amount],ROWS($B$1:$B9)),IFERROR(INDEX(Bills2[Amount],(ROWS($B$1:$B9)-ROWS(Bills1[Amount]))),)), "")</f>
        <v/>
      </c>
      <c r="J10" s="129" t="str">
        <f ca="1">IF(ISNUMBER(bills_curr_plus3[[#This Row],[bills]]), IF(OR(MONTH($G$2)=12, YEAR($G$2)=YEAR(TODAY())+1), IFERROR(MONTH($G$2+32)&amp;"/"&amp;INDEX(Bills1[Date &lt;d&gt;], ROWS($B$1:$B9))&amp;"/"&amp;$C$51, IFERROR(MONTH($G$2+32)&amp;"/"&amp;INDEX(DAY(Bills2[Date &lt;d&gt;]), (ROWS($B$1:$B9)-ROWS(Bills1[Date &lt;d&gt;])))&amp;"/"&amp;$C$51, "")), IFERROR(MONTH($G$2+32)&amp;"/"&amp;INDEX(Bills1[Date &lt;d&gt;], ROWS($B$1:$B9)), IFERROR(MONTH($G$2+32)&amp;"/"&amp;INDEX(DAY(Bills2[Date &lt;d&gt;]), (ROWS($B$1:$B9)-ROWS(Bills1[Date &lt;d&gt;]))), ""))), "")</f>
        <v/>
      </c>
      <c r="K10" s="130" t="str">
        <f>IF(IFERROR(INDEX(Bills1[Amount],ROWS($B$1:$B9)),IFERROR(INDEX(Bills2[Amount],(ROWS($B$1:$B9)-ROWS(Bills1[Amount]))),))&gt;0,-IFERROR(INDEX(Bills1[Amount],ROWS($B$1:$B9)),IFERROR(INDEX(Bills2[Amount],(ROWS($B$1:$B9)-ROWS(Bills1[Amount]))),)), "")</f>
        <v/>
      </c>
      <c r="M10" s="129" t="str">
        <f ca="1">IF(ISNUMBER(bills_curr_plus4[[#This Row],[bills]]), IF(OR(MONTH($J$2)=12, YEAR($J$2)=YEAR(TODAY())+1), IFERROR(MONTH($J$2+32)&amp;"/"&amp;INDEX(Bills1[Date &lt;d&gt;], ROWS($B$1:$B9))&amp;"/"&amp;$C$51, IFERROR(MONTH($J$2+32)&amp;"/"&amp;INDEX(DAY(Bills2[Date &lt;d&gt;]), (ROWS($B$1:$B9)-ROWS(Bills1[Date &lt;d&gt;])))&amp;"/"&amp;$C$51, "")), IFERROR(MONTH($J$2+32)&amp;"/"&amp;INDEX(Bills1[Date &lt;d&gt;], ROWS($B$1:$B9)), IFERROR(MONTH($J$2+32)&amp;"/"&amp;INDEX(DAY(Bills2[Date &lt;d&gt;]), (ROWS($B$1:$B9)-ROWS(Bills1[Date &lt;d&gt;]))), ""))), "")</f>
        <v/>
      </c>
      <c r="N10" s="130" t="str">
        <f>IF(IFERROR(INDEX(Bills1[Amount],ROWS($B$1:$B9)),IFERROR(INDEX(Bills2[Amount],(ROWS($B$1:$B9)-ROWS(Bills1[Amount]))),))&gt;0,-IFERROR(INDEX(Bills1[Amount],ROWS($B$1:$B9)),IFERROR(INDEX(Bills2[Amount],(ROWS($B$1:$B9)-ROWS(Bills1[Amount]))),)), "")</f>
        <v/>
      </c>
      <c r="P10" s="129" t="str">
        <f ca="1">IF(ISNUMBER(bills_curr_plus5[[#This Row],[bills]]), IF(OR(MONTH($M$2)=12, YEAR($M$2)=YEAR(TODAY())+1), IFERROR(MONTH($M$2+32)&amp;"/"&amp;INDEX(Bills1[Date &lt;d&gt;], ROWS($B$1:$B9))&amp;"/"&amp;$C$51, IFERROR(MONTH($M$2+32)&amp;"/"&amp;INDEX(DAY(Bills2[Date &lt;d&gt;]), (ROWS($B$1:$B9)-ROWS(Bills1[Date &lt;d&gt;])))&amp;"/"&amp;$C$51, "")), IFERROR(MONTH($M$2+32)&amp;"/"&amp;INDEX(Bills1[Date &lt;d&gt;], ROWS($B$1:$B9)), IFERROR(MONTH($M$2+32)&amp;"/"&amp;INDEX(DAY(Bills2[Date &lt;d&gt;]), (ROWS($B$1:$B9)-ROWS(Bills1[Date &lt;d&gt;]))), ""))), "")</f>
        <v/>
      </c>
      <c r="Q10" s="130" t="str">
        <f>IF(IFERROR(INDEX(Bills1[Amount],ROWS($B$1:$B9)),IFERROR(INDEX(Bills2[Amount],(ROWS($B$1:$B9)-ROWS(Bills1[Amount]))),))&gt;0,-IFERROR(INDEX(Bills1[Amount],ROWS($B$1:$B9)),IFERROR(INDEX(Bills2[Amount],(ROWS($B$1:$B9)-ROWS(Bills1[Amount]))),)), "")</f>
        <v/>
      </c>
      <c r="R10" s="130"/>
      <c r="S10" s="129" t="str">
        <f ca="1">IF(ISNUMBER(bills_curr_plus6[[#This Row],[bills]]),
IF(OR(MONTH($P$2)=12, YEAR($P$2)=YEAR(TODAY())+1),
IFERROR(MONTH($P$2+32)&amp;"/"&amp;INDEX(Bills1[Date &lt;d&gt;], ROWS($B$1:$B9))&amp;"/"&amp;$C$51,
IFERROR(MONTH($P$2+32)&amp;"/"&amp;INDEX(DAY(Bills2[Date &lt;d&gt;]), (ROWS($B$1:$B9)-ROWS(Bills1[Date &lt;d&gt;])))&amp;"/"&amp;$C$51, "")),
IFERROR(MONTH($P$2+32)&amp;"/"&amp;INDEX(Bills1[Date &lt;d&gt;], ROWS($B$1:$B9)),
IFERROR(MONTH($P$2+32)&amp;"/"&amp;INDEX(DAY(Bills2[Date &lt;d&gt;]), (ROWS($B$1:$B9)-ROWS(Bills1[Date &lt;d&gt;]))), ""))), "")</f>
        <v/>
      </c>
      <c r="T10" s="130" t="str">
        <f>IF(IFERROR(INDEX(Bills1[Amount],ROWS($B$1:$B9)),
IFERROR(INDEX(Bills2[Amount],(ROWS($B$1:$B9)-ROWS(Bills1[Amount]))),))&gt;0,
-IFERROR(INDEX(Bills1[Amount],ROWS($B$1:$B9)),
IFERROR(INDEX(Bills2[Amount],(ROWS($B$1:$B9)-ROWS(Bills1[Amount]))),)), "")</f>
        <v/>
      </c>
      <c r="V10" s="129">
        <v>43778</v>
      </c>
      <c r="W10" s="1">
        <f>DAY(income_future[[#This Row],[dates]])</f>
        <v>9</v>
      </c>
      <c r="X10" s="130">
        <f ca="1">SUMIF(income_curr[mod( )], MOD(V10, 14), income_curr[income])</f>
        <v>0</v>
      </c>
      <c r="Z10" s="132">
        <f ca="1">IF(TEXT(Table10[[#This Row],[dates]], "ddd")="Mon", 999999999, "")</f>
        <v>999999999</v>
      </c>
      <c r="AA10" s="132" t="str">
        <f ca="1">IF(TODAY()=Table10[[#This Row],[dates]], TEXT(DATE(2019, MONTH(Table10[[#This Row],[dates]]), 1), "mmm"), IFERROR(IF(MONTH(Table10[[#This Row],[dates]])&lt;&gt;MONTH(AC9), TEXT(DATE(2019, MONTH(Table10[[#This Row],[dates]]), 1), "mmm"), ""), ""))</f>
        <v/>
      </c>
      <c r="AB10" s="133">
        <f ca="1">DAY('Data Preparation'!$AC10)</f>
        <v>18</v>
      </c>
      <c r="AC10" s="134">
        <f t="shared" ca="1" si="0"/>
        <v>43787</v>
      </c>
      <c r="AD1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 s="136">
        <f ca="1">IFERROR(
IF(MONTH(Table10[[#This Row],[dates]])&lt;&gt;MONTH($AC9), Table10[[#This Row],[delta $]]+AE9-SUM(Bills3[Amount]), N("deducts other bills at the end of each month")+
IF(Table10[[#This Row],[delta $]]&lt;&gt;0, Table10[[#This Row],[delta $]]+AE9,
AE9)),
"")</f>
        <v>2788</v>
      </c>
      <c r="AF10" s="136">
        <f ca="1">Table10[[#This Row],[sum per date]]-IF(MONTH(Table10[[#This Row],[dates]])=MONTH(TODAY()),
SUMIF(Bills3[Paid?], "&lt;&gt;Y", Bills3[Amount]), SUM(Bills3[Amount]))</f>
        <v>2668</v>
      </c>
      <c r="AG10" s="136" t="e">
        <f ca="1">IF(AND(
Table10[[#This Row],[fluctuation]]=MIN(INDEX(Table10[fluctuation], MATCH(TODAY(),Table10[dates], 0)):INDEX(Table10[fluctuation], MATCH(end_date,Table10[dates], 0))),
OR(ISNA(INDEX($AF$2:AF9, MATCH(Table10[[#This Row],[fluctuation]], $AF$2:AF9, 0))), ROW(AG10)=2)),
Table10[[#This Row],[fluctuation]],
NA())</f>
        <v>#N/A</v>
      </c>
    </row>
    <row r="11" spans="1:52" x14ac:dyDescent="0.25">
      <c r="A11" s="129" t="str">
        <f ca="1">IF(ISNUMBER(bills_curr_mo[[#This Row],[bills]]), IFERROR(MONTH(TODAY())&amp;"/"&amp;INDEX(Bills1[Date &lt;d&gt;], ROWS(B$1:$B10)), IFERROR(MONTH(TODAY())&amp;"/"&amp;INDEX(DAY(Bills2[Date &lt;d&gt;]), (ROWS(B$1:$B10)-ROWS(Bills1[Date &lt;d&gt;]))), "")), "")</f>
        <v/>
      </c>
      <c r="B11" s="130" t="str">
        <f>IF(IFERROR(INDEX(Bills1[Amount],ROWS($B$1:$B10)),IFERROR(INDEX(Bills2[Amount],(ROWS($B$1:$B10)-ROWS(Bills1[Amount]))),))&gt;0,-IFERROR(INDEX(Bills1[Amount],ROWS($B$1:$B10)),IFERROR(INDEX(Bills2[Amount],(ROWS($B$1:$B10)-ROWS(Bills1[Amount]))),)), "")</f>
        <v/>
      </c>
      <c r="D11" s="129" t="str">
        <f ca="1">IF(ISNUMBER(bills_curr_plus1[[#This Row],[bills]]), IF(OR(MONTH($A$2)=12, YEAR($A$2)=YEAR(TODAY())+1), IFERROR(MONTH($A$2+32)&amp;"/"&amp;INDEX(Bills1[Date &lt;d&gt;], ROWS($B$1:$B10))&amp;"/"&amp;$C$51, IFERROR(MONTH($A$2+32)&amp;"/"&amp;INDEX(DAY(Bills2[Date &lt;d&gt;]), (ROWS($B$1:$B10)-ROWS(Bills1[Date &lt;d&gt;])))&amp;"/"&amp;$C$51, "")), IFERROR(MONTH($A$2+32)&amp;"/"&amp;INDEX(Bills1[Date &lt;d&gt;], ROWS($B$1:$B10)), IFERROR(MONTH($A$2+32)&amp;"/"&amp;INDEX(DAY(Bills2[Date &lt;d&gt;]), (ROWS($B$1:$B10)-ROWS(Bills1[Date &lt;d&gt;]))), ""))), "")</f>
        <v/>
      </c>
      <c r="E11" s="130" t="str">
        <f>IF(IFERROR(INDEX(Bills1[Amount],ROWS($B$1:$B10)),IFERROR(INDEX(Bills2[Amount],(ROWS($B$1:$B10)-ROWS(Bills1[Amount]))),))&gt;0,-IFERROR(INDEX(Bills1[Amount],ROWS($B$1:$B10)),IFERROR(INDEX(Bills2[Amount],(ROWS($B$1:$B10)-ROWS(Bills1[Amount]))),)), "")</f>
        <v/>
      </c>
      <c r="G11" s="129" t="str">
        <f ca="1">IF(ISNUMBER(bills_curr_plus2[[#This Row],[bills]]), IF(OR(MONTH($D$2)=12, YEAR($D$2)=YEAR(TODAY())+1), IFERROR(MONTH($D$2+32)&amp;"/"&amp;INDEX(Bills1[Date &lt;d&gt;], ROWS($B$1:$B10))&amp;"/"&amp;$C$51, IFERROR(MONTH($D$2+32)&amp;"/"&amp;INDEX(DAY(Bills2[Date &lt;d&gt;]), (ROWS($B$1:$B10)-ROWS(Bills1[Date &lt;d&gt;])))&amp;"/"&amp;$C$51, "")), IFERROR(MONTH($D$2+32)&amp;"/"&amp;INDEX(Bills1[Date &lt;d&gt;], ROWS($B$1:$B10)), IFERROR(MONTH($D$2+32)&amp;"/"&amp;INDEX(DAY(Bills2[Date &lt;d&gt;]), (ROWS($B$1:$B10)-ROWS(Bills1[Date &lt;d&gt;]))), ""))), "")</f>
        <v/>
      </c>
      <c r="H11" s="130" t="str">
        <f>IF(IFERROR(INDEX(Bills1[Amount],ROWS($B$1:$B10)),IFERROR(INDEX(Bills2[Amount],(ROWS($B$1:$B10)-ROWS(Bills1[Amount]))),))&gt;0,-IFERROR(INDEX(Bills1[Amount],ROWS($B$1:$B10)),IFERROR(INDEX(Bills2[Amount],(ROWS($B$1:$B10)-ROWS(Bills1[Amount]))),)), "")</f>
        <v/>
      </c>
      <c r="J11" s="129" t="str">
        <f ca="1">IF(ISNUMBER(bills_curr_plus3[[#This Row],[bills]]), IF(OR(MONTH($G$2)=12, YEAR($G$2)=YEAR(TODAY())+1), IFERROR(MONTH($G$2+32)&amp;"/"&amp;INDEX(Bills1[Date &lt;d&gt;], ROWS($B$1:$B10))&amp;"/"&amp;$C$51, IFERROR(MONTH($G$2+32)&amp;"/"&amp;INDEX(DAY(Bills2[Date &lt;d&gt;]), (ROWS($B$1:$B10)-ROWS(Bills1[Date &lt;d&gt;])))&amp;"/"&amp;$C$51, "")), IFERROR(MONTH($G$2+32)&amp;"/"&amp;INDEX(Bills1[Date &lt;d&gt;], ROWS($B$1:$B10)), IFERROR(MONTH($G$2+32)&amp;"/"&amp;INDEX(DAY(Bills2[Date &lt;d&gt;]), (ROWS($B$1:$B10)-ROWS(Bills1[Date &lt;d&gt;]))), ""))), "")</f>
        <v/>
      </c>
      <c r="K11" s="130" t="str">
        <f>IF(IFERROR(INDEX(Bills1[Amount],ROWS($B$1:$B10)),IFERROR(INDEX(Bills2[Amount],(ROWS($B$1:$B10)-ROWS(Bills1[Amount]))),))&gt;0,-IFERROR(INDEX(Bills1[Amount],ROWS($B$1:$B10)),IFERROR(INDEX(Bills2[Amount],(ROWS($B$1:$B10)-ROWS(Bills1[Amount]))),)), "")</f>
        <v/>
      </c>
      <c r="M11" s="129" t="str">
        <f ca="1">IF(ISNUMBER(bills_curr_plus4[[#This Row],[bills]]), IF(OR(MONTH($J$2)=12, YEAR($J$2)=YEAR(TODAY())+1), IFERROR(MONTH($J$2+32)&amp;"/"&amp;INDEX(Bills1[Date &lt;d&gt;], ROWS($B$1:$B10))&amp;"/"&amp;$C$51, IFERROR(MONTH($J$2+32)&amp;"/"&amp;INDEX(DAY(Bills2[Date &lt;d&gt;]), (ROWS($B$1:$B10)-ROWS(Bills1[Date &lt;d&gt;])))&amp;"/"&amp;$C$51, "")), IFERROR(MONTH($J$2+32)&amp;"/"&amp;INDEX(Bills1[Date &lt;d&gt;], ROWS($B$1:$B10)), IFERROR(MONTH($J$2+32)&amp;"/"&amp;INDEX(DAY(Bills2[Date &lt;d&gt;]), (ROWS($B$1:$B10)-ROWS(Bills1[Date &lt;d&gt;]))), ""))), "")</f>
        <v/>
      </c>
      <c r="N11" s="130" t="str">
        <f>IF(IFERROR(INDEX(Bills1[Amount],ROWS($B$1:$B10)),IFERROR(INDEX(Bills2[Amount],(ROWS($B$1:$B10)-ROWS(Bills1[Amount]))),))&gt;0,-IFERROR(INDEX(Bills1[Amount],ROWS($B$1:$B10)),IFERROR(INDEX(Bills2[Amount],(ROWS($B$1:$B10)-ROWS(Bills1[Amount]))),)), "")</f>
        <v/>
      </c>
      <c r="P11" s="129" t="str">
        <f ca="1">IF(ISNUMBER(bills_curr_plus5[[#This Row],[bills]]), IF(OR(MONTH($M$2)=12, YEAR($M$2)=YEAR(TODAY())+1), IFERROR(MONTH($M$2+32)&amp;"/"&amp;INDEX(Bills1[Date &lt;d&gt;], ROWS($B$1:$B10))&amp;"/"&amp;$C$51, IFERROR(MONTH($M$2+32)&amp;"/"&amp;INDEX(DAY(Bills2[Date &lt;d&gt;]), (ROWS($B$1:$B10)-ROWS(Bills1[Date &lt;d&gt;])))&amp;"/"&amp;$C$51, "")), IFERROR(MONTH($M$2+32)&amp;"/"&amp;INDEX(Bills1[Date &lt;d&gt;], ROWS($B$1:$B10)), IFERROR(MONTH($M$2+32)&amp;"/"&amp;INDEX(DAY(Bills2[Date &lt;d&gt;]), (ROWS($B$1:$B10)-ROWS(Bills1[Date &lt;d&gt;]))), ""))), "")</f>
        <v/>
      </c>
      <c r="Q11" s="130" t="str">
        <f>IF(IFERROR(INDEX(Bills1[Amount],ROWS($B$1:$B10)),IFERROR(INDEX(Bills2[Amount],(ROWS($B$1:$B10)-ROWS(Bills1[Amount]))),))&gt;0,-IFERROR(INDEX(Bills1[Amount],ROWS($B$1:$B10)),IFERROR(INDEX(Bills2[Amount],(ROWS($B$1:$B10)-ROWS(Bills1[Amount]))),)), "")</f>
        <v/>
      </c>
      <c r="R11" s="130"/>
      <c r="S11" s="129" t="str">
        <f ca="1">IF(ISNUMBER(bills_curr_plus6[[#This Row],[bills]]),
IF(OR(MONTH($P$2)=12, YEAR($P$2)=YEAR(TODAY())+1),
IFERROR(MONTH($P$2+32)&amp;"/"&amp;INDEX(Bills1[Date &lt;d&gt;], ROWS($B$1:$B10))&amp;"/"&amp;$C$51,
IFERROR(MONTH($P$2+32)&amp;"/"&amp;INDEX(DAY(Bills2[Date &lt;d&gt;]), (ROWS($B$1:$B10)-ROWS(Bills1[Date &lt;d&gt;])))&amp;"/"&amp;$C$51, "")),
IFERROR(MONTH($P$2+32)&amp;"/"&amp;INDEX(Bills1[Date &lt;d&gt;], ROWS($B$1:$B10)),
IFERROR(MONTH($P$2+32)&amp;"/"&amp;INDEX(DAY(Bills2[Date &lt;d&gt;]), (ROWS($B$1:$B10)-ROWS(Bills1[Date &lt;d&gt;]))), ""))), "")</f>
        <v/>
      </c>
      <c r="T11" s="130" t="str">
        <f>IF(IFERROR(INDEX(Bills1[Amount],ROWS($B$1:$B10)),
IFERROR(INDEX(Bills2[Amount],(ROWS($B$1:$B10)-ROWS(Bills1[Amount]))),))&gt;0,
-IFERROR(INDEX(Bills1[Amount],ROWS($B$1:$B10)),
IFERROR(INDEX(Bills2[Amount],(ROWS($B$1:$B10)-ROWS(Bills1[Amount]))),)), "")</f>
        <v/>
      </c>
      <c r="V11" s="129">
        <v>43779</v>
      </c>
      <c r="W11" s="1">
        <f>DAY(income_future[[#This Row],[dates]])</f>
        <v>10</v>
      </c>
      <c r="X11" s="130">
        <f ca="1">SUMIF(income_curr[mod( )], MOD(V11, 14), income_curr[income])</f>
        <v>0</v>
      </c>
      <c r="Z11" s="132" t="str">
        <f ca="1">IF(TEXT(Table10[[#This Row],[dates]], "ddd")="Mon", 999999999, "")</f>
        <v/>
      </c>
      <c r="AA11" s="132" t="str">
        <f ca="1">IF(TODAY()=Table10[[#This Row],[dates]], TEXT(DATE(2019, MONTH(Table10[[#This Row],[dates]]), 1), "mmm"), IFERROR(IF(MONTH(Table10[[#This Row],[dates]])&lt;&gt;MONTH(AC10), TEXT(DATE(2019, MONTH(Table10[[#This Row],[dates]]), 1), "mmm"), ""), ""))</f>
        <v/>
      </c>
      <c r="AB11" s="133">
        <f ca="1">DAY('Data Preparation'!$AC11)</f>
        <v>19</v>
      </c>
      <c r="AC11" s="134">
        <f t="shared" ca="1" si="0"/>
        <v>43788</v>
      </c>
      <c r="AD1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 s="136">
        <f ca="1">IFERROR(
IF(MONTH(Table10[[#This Row],[dates]])&lt;&gt;MONTH($AC10), Table10[[#This Row],[delta $]]+AE10-SUM(Bills3[Amount]), N("deducts other bills at the end of each month")+
IF(Table10[[#This Row],[delta $]]&lt;&gt;0, Table10[[#This Row],[delta $]]+AE10,
AE10)),
"")</f>
        <v>2788</v>
      </c>
      <c r="AF11" s="136">
        <f ca="1">Table10[[#This Row],[sum per date]]-IF(MONTH(Table10[[#This Row],[dates]])=MONTH(TODAY()),
SUMIF(Bills3[Paid?], "&lt;&gt;Y", Bills3[Amount]), SUM(Bills3[Amount]))</f>
        <v>2668</v>
      </c>
      <c r="AG11" s="136" t="e">
        <f ca="1">IF(AND(
Table10[[#This Row],[fluctuation]]=MIN(INDEX(Table10[fluctuation], MATCH(TODAY(),Table10[dates], 0)):INDEX(Table10[fluctuation], MATCH(end_date,Table10[dates], 0))),
OR(ISNA(INDEX($AF$2:AF10, MATCH(Table10[[#This Row],[fluctuation]], $AF$2:AF10, 0))), ROW(AG11)=2)),
Table10[[#This Row],[fluctuation]],
NA())</f>
        <v>#N/A</v>
      </c>
    </row>
    <row r="12" spans="1:52" x14ac:dyDescent="0.25">
      <c r="A12" s="129" t="str">
        <f ca="1">IF(ISNUMBER(bills_curr_mo[[#This Row],[bills]]), IFERROR(MONTH(TODAY())&amp;"/"&amp;INDEX(Bills1[Date &lt;d&gt;], ROWS(B$1:$B11)), IFERROR(MONTH(TODAY())&amp;"/"&amp;INDEX(DAY(Bills2[Date &lt;d&gt;]), (ROWS(B$1:$B11)-ROWS(Bills1[Date &lt;d&gt;]))), "")), "")</f>
        <v/>
      </c>
      <c r="B12" s="130" t="str">
        <f>IF(IFERROR(INDEX(Bills1[Amount],ROWS($B$1:$B11)),IFERROR(INDEX(Bills2[Amount],(ROWS($B$1:$B11)-ROWS(Bills1[Amount]))),))&gt;0,-IFERROR(INDEX(Bills1[Amount],ROWS($B$1:$B11)),IFERROR(INDEX(Bills2[Amount],(ROWS($B$1:$B11)-ROWS(Bills1[Amount]))),)), "")</f>
        <v/>
      </c>
      <c r="D12" s="129" t="str">
        <f ca="1">IF(ISNUMBER(bills_curr_plus1[[#This Row],[bills]]), IF(OR(MONTH($A$2)=12, YEAR($A$2)=YEAR(TODAY())+1), IFERROR(MONTH($A$2+32)&amp;"/"&amp;INDEX(Bills1[Date &lt;d&gt;], ROWS($B$1:$B11))&amp;"/"&amp;$C$51, IFERROR(MONTH($A$2+32)&amp;"/"&amp;INDEX(DAY(Bills2[Date &lt;d&gt;]), (ROWS($B$1:$B11)-ROWS(Bills1[Date &lt;d&gt;])))&amp;"/"&amp;$C$51, "")), IFERROR(MONTH($A$2+32)&amp;"/"&amp;INDEX(Bills1[Date &lt;d&gt;], ROWS($B$1:$B11)), IFERROR(MONTH($A$2+32)&amp;"/"&amp;INDEX(DAY(Bills2[Date &lt;d&gt;]), (ROWS($B$1:$B11)-ROWS(Bills1[Date &lt;d&gt;]))), ""))), "")</f>
        <v/>
      </c>
      <c r="E12" s="130" t="str">
        <f>IF(IFERROR(INDEX(Bills1[Amount],ROWS($B$1:$B11)),IFERROR(INDEX(Bills2[Amount],(ROWS($B$1:$B11)-ROWS(Bills1[Amount]))),))&gt;0,-IFERROR(INDEX(Bills1[Amount],ROWS($B$1:$B11)),IFERROR(INDEX(Bills2[Amount],(ROWS($B$1:$B11)-ROWS(Bills1[Amount]))),)), "")</f>
        <v/>
      </c>
      <c r="G12" s="129" t="str">
        <f ca="1">IF(ISNUMBER(bills_curr_plus2[[#This Row],[bills]]), IF(OR(MONTH($D$2)=12, YEAR($D$2)=YEAR(TODAY())+1), IFERROR(MONTH($D$2+32)&amp;"/"&amp;INDEX(Bills1[Date &lt;d&gt;], ROWS($B$1:$B11))&amp;"/"&amp;$C$51, IFERROR(MONTH($D$2+32)&amp;"/"&amp;INDEX(DAY(Bills2[Date &lt;d&gt;]), (ROWS($B$1:$B11)-ROWS(Bills1[Date &lt;d&gt;])))&amp;"/"&amp;$C$51, "")), IFERROR(MONTH($D$2+32)&amp;"/"&amp;INDEX(Bills1[Date &lt;d&gt;], ROWS($B$1:$B11)), IFERROR(MONTH($D$2+32)&amp;"/"&amp;INDEX(DAY(Bills2[Date &lt;d&gt;]), (ROWS($B$1:$B11)-ROWS(Bills1[Date &lt;d&gt;]))), ""))), "")</f>
        <v/>
      </c>
      <c r="H12" s="130" t="str">
        <f>IF(IFERROR(INDEX(Bills1[Amount],ROWS($B$1:$B11)),IFERROR(INDEX(Bills2[Amount],(ROWS($B$1:$B11)-ROWS(Bills1[Amount]))),))&gt;0,-IFERROR(INDEX(Bills1[Amount],ROWS($B$1:$B11)),IFERROR(INDEX(Bills2[Amount],(ROWS($B$1:$B11)-ROWS(Bills1[Amount]))),)), "")</f>
        <v/>
      </c>
      <c r="J12" s="129" t="str">
        <f ca="1">IF(ISNUMBER(bills_curr_plus3[[#This Row],[bills]]), IF(OR(MONTH($G$2)=12, YEAR($G$2)=YEAR(TODAY())+1), IFERROR(MONTH($G$2+32)&amp;"/"&amp;INDEX(Bills1[Date &lt;d&gt;], ROWS($B$1:$B11))&amp;"/"&amp;$C$51, IFERROR(MONTH($G$2+32)&amp;"/"&amp;INDEX(DAY(Bills2[Date &lt;d&gt;]), (ROWS($B$1:$B11)-ROWS(Bills1[Date &lt;d&gt;])))&amp;"/"&amp;$C$51, "")), IFERROR(MONTH($G$2+32)&amp;"/"&amp;INDEX(Bills1[Date &lt;d&gt;], ROWS($B$1:$B11)), IFERROR(MONTH($G$2+32)&amp;"/"&amp;INDEX(DAY(Bills2[Date &lt;d&gt;]), (ROWS($B$1:$B11)-ROWS(Bills1[Date &lt;d&gt;]))), ""))), "")</f>
        <v/>
      </c>
      <c r="K12" s="130" t="str">
        <f>IF(IFERROR(INDEX(Bills1[Amount],ROWS($B$1:$B11)),IFERROR(INDEX(Bills2[Amount],(ROWS($B$1:$B11)-ROWS(Bills1[Amount]))),))&gt;0,-IFERROR(INDEX(Bills1[Amount],ROWS($B$1:$B11)),IFERROR(INDEX(Bills2[Amount],(ROWS($B$1:$B11)-ROWS(Bills1[Amount]))),)), "")</f>
        <v/>
      </c>
      <c r="M12" s="129" t="str">
        <f ca="1">IF(ISNUMBER(bills_curr_plus4[[#This Row],[bills]]), IF(OR(MONTH($J$2)=12, YEAR($J$2)=YEAR(TODAY())+1), IFERROR(MONTH($J$2+32)&amp;"/"&amp;INDEX(Bills1[Date &lt;d&gt;], ROWS($B$1:$B11))&amp;"/"&amp;$C$51, IFERROR(MONTH($J$2+32)&amp;"/"&amp;INDEX(DAY(Bills2[Date &lt;d&gt;]), (ROWS($B$1:$B11)-ROWS(Bills1[Date &lt;d&gt;])))&amp;"/"&amp;$C$51, "")), IFERROR(MONTH($J$2+32)&amp;"/"&amp;INDEX(Bills1[Date &lt;d&gt;], ROWS($B$1:$B11)), IFERROR(MONTH($J$2+32)&amp;"/"&amp;INDEX(DAY(Bills2[Date &lt;d&gt;]), (ROWS($B$1:$B11)-ROWS(Bills1[Date &lt;d&gt;]))), ""))), "")</f>
        <v/>
      </c>
      <c r="N12" s="130" t="str">
        <f>IF(IFERROR(INDEX(Bills1[Amount],ROWS($B$1:$B11)),IFERROR(INDEX(Bills2[Amount],(ROWS($B$1:$B11)-ROWS(Bills1[Amount]))),))&gt;0,-IFERROR(INDEX(Bills1[Amount],ROWS($B$1:$B11)),IFERROR(INDEX(Bills2[Amount],(ROWS($B$1:$B11)-ROWS(Bills1[Amount]))),)), "")</f>
        <v/>
      </c>
      <c r="P12" s="129" t="str">
        <f ca="1">IF(ISNUMBER(bills_curr_plus5[[#This Row],[bills]]), IF(OR(MONTH($M$2)=12, YEAR($M$2)=YEAR(TODAY())+1), IFERROR(MONTH($M$2+32)&amp;"/"&amp;INDEX(Bills1[Date &lt;d&gt;], ROWS($B$1:$B11))&amp;"/"&amp;$C$51, IFERROR(MONTH($M$2+32)&amp;"/"&amp;INDEX(DAY(Bills2[Date &lt;d&gt;]), (ROWS($B$1:$B11)-ROWS(Bills1[Date &lt;d&gt;])))&amp;"/"&amp;$C$51, "")), IFERROR(MONTH($M$2+32)&amp;"/"&amp;INDEX(Bills1[Date &lt;d&gt;], ROWS($B$1:$B11)), IFERROR(MONTH($M$2+32)&amp;"/"&amp;INDEX(DAY(Bills2[Date &lt;d&gt;]), (ROWS($B$1:$B11)-ROWS(Bills1[Date &lt;d&gt;]))), ""))), "")</f>
        <v/>
      </c>
      <c r="Q12" s="130" t="str">
        <f>IF(IFERROR(INDEX(Bills1[Amount],ROWS($B$1:$B11)),IFERROR(INDEX(Bills2[Amount],(ROWS($B$1:$B11)-ROWS(Bills1[Amount]))),))&gt;0,-IFERROR(INDEX(Bills1[Amount],ROWS($B$1:$B11)),IFERROR(INDEX(Bills2[Amount],(ROWS($B$1:$B11)-ROWS(Bills1[Amount]))),)), "")</f>
        <v/>
      </c>
      <c r="R12" s="130"/>
      <c r="S12" s="129" t="str">
        <f ca="1">IF(ISNUMBER(bills_curr_plus6[[#This Row],[bills]]),
IF(OR(MONTH($P$2)=12, YEAR($P$2)=YEAR(TODAY())+1),
IFERROR(MONTH($P$2+32)&amp;"/"&amp;INDEX(Bills1[Date &lt;d&gt;], ROWS($B$1:$B11))&amp;"/"&amp;$C$51,
IFERROR(MONTH($P$2+32)&amp;"/"&amp;INDEX(DAY(Bills2[Date &lt;d&gt;]), (ROWS($B$1:$B11)-ROWS(Bills1[Date &lt;d&gt;])))&amp;"/"&amp;$C$51, "")),
IFERROR(MONTH($P$2+32)&amp;"/"&amp;INDEX(Bills1[Date &lt;d&gt;], ROWS($B$1:$B11)),
IFERROR(MONTH($P$2+32)&amp;"/"&amp;INDEX(DAY(Bills2[Date &lt;d&gt;]), (ROWS($B$1:$B11)-ROWS(Bills1[Date &lt;d&gt;]))), ""))), "")</f>
        <v/>
      </c>
      <c r="T12" s="130" t="str">
        <f>IF(IFERROR(INDEX(Bills1[Amount],ROWS($B$1:$B11)),
IFERROR(INDEX(Bills2[Amount],(ROWS($B$1:$B11)-ROWS(Bills1[Amount]))),))&gt;0,
-IFERROR(INDEX(Bills1[Amount],ROWS($B$1:$B11)),
IFERROR(INDEX(Bills2[Amount],(ROWS($B$1:$B11)-ROWS(Bills1[Amount]))),)), "")</f>
        <v/>
      </c>
      <c r="V12" s="129">
        <v>43780</v>
      </c>
      <c r="W12" s="1">
        <f>DAY(income_future[[#This Row],[dates]])</f>
        <v>11</v>
      </c>
      <c r="X12" s="130">
        <f ca="1">SUMIF(income_curr[mod( )], MOD(V12, 14), income_curr[income])</f>
        <v>0</v>
      </c>
      <c r="Z12" s="132" t="str">
        <f ca="1">IF(TEXT(Table10[[#This Row],[dates]], "ddd")="Mon", 999999999, "")</f>
        <v/>
      </c>
      <c r="AA12" s="132" t="str">
        <f ca="1">IF(TODAY()=Table10[[#This Row],[dates]], TEXT(DATE(2019, MONTH(Table10[[#This Row],[dates]]), 1), "mmm"), IFERROR(IF(MONTH(Table10[[#This Row],[dates]])&lt;&gt;MONTH(AC11), TEXT(DATE(2019, MONTH(Table10[[#This Row],[dates]]), 1), "mmm"), ""), ""))</f>
        <v/>
      </c>
      <c r="AB12" s="133">
        <f ca="1">DAY('Data Preparation'!$AC12)</f>
        <v>20</v>
      </c>
      <c r="AC12" s="134">
        <f t="shared" ca="1" si="0"/>
        <v>43789</v>
      </c>
      <c r="AD1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 s="136">
        <f ca="1">IFERROR(
IF(MONTH(Table10[[#This Row],[dates]])&lt;&gt;MONTH($AC11), Table10[[#This Row],[delta $]]+AE11-SUM(Bills3[Amount]), N("deducts other bills at the end of each month")+
IF(Table10[[#This Row],[delta $]]&lt;&gt;0, Table10[[#This Row],[delta $]]+AE11,
AE11)),
"")</f>
        <v>2788</v>
      </c>
      <c r="AF12" s="136">
        <f ca="1">Table10[[#This Row],[sum per date]]-IF(MONTH(Table10[[#This Row],[dates]])=MONTH(TODAY()),
SUMIF(Bills3[Paid?], "&lt;&gt;Y", Bills3[Amount]), SUM(Bills3[Amount]))</f>
        <v>2668</v>
      </c>
      <c r="AG12" s="136" t="e">
        <f ca="1">IF(AND(
Table10[[#This Row],[fluctuation]]=MIN(INDEX(Table10[fluctuation], MATCH(TODAY(),Table10[dates], 0)):INDEX(Table10[fluctuation], MATCH(end_date,Table10[dates], 0))),
OR(ISNA(INDEX($AF$2:AF11, MATCH(Table10[[#This Row],[fluctuation]], $AF$2:AF11, 0))), ROW(AG12)=2)),
Table10[[#This Row],[fluctuation]],
NA())</f>
        <v>#N/A</v>
      </c>
    </row>
    <row r="13" spans="1:52" x14ac:dyDescent="0.25">
      <c r="A13" s="129" t="str">
        <f ca="1">IF(ISNUMBER(bills_curr_mo[[#This Row],[bills]]), IFERROR(MONTH(TODAY())&amp;"/"&amp;INDEX(Bills1[Date &lt;d&gt;], ROWS(B$1:$B12)), IFERROR(MONTH(TODAY())&amp;"/"&amp;INDEX(DAY(Bills2[Date &lt;d&gt;]), (ROWS(B$1:$B12)-ROWS(Bills1[Date &lt;d&gt;]))), "")), "")</f>
        <v/>
      </c>
      <c r="B13" s="130" t="str">
        <f>IF(IFERROR(INDEX(Bills1[Amount],ROWS($B$1:$B12)),IFERROR(INDEX(Bills2[Amount],(ROWS($B$1:$B12)-ROWS(Bills1[Amount]))),))&gt;0,-IFERROR(INDEX(Bills1[Amount],ROWS($B$1:$B12)),IFERROR(INDEX(Bills2[Amount],(ROWS($B$1:$B12)-ROWS(Bills1[Amount]))),)), "")</f>
        <v/>
      </c>
      <c r="D13" s="129" t="str">
        <f ca="1">IF(ISNUMBER(bills_curr_plus1[[#This Row],[bills]]), IF(OR(MONTH($A$2)=12, YEAR($A$2)=YEAR(TODAY())+1), IFERROR(MONTH($A$2+32)&amp;"/"&amp;INDEX(Bills1[Date &lt;d&gt;], ROWS($B$1:$B12))&amp;"/"&amp;$C$51, IFERROR(MONTH($A$2+32)&amp;"/"&amp;INDEX(DAY(Bills2[Date &lt;d&gt;]), (ROWS($B$1:$B12)-ROWS(Bills1[Date &lt;d&gt;])))&amp;"/"&amp;$C$51, "")), IFERROR(MONTH($A$2+32)&amp;"/"&amp;INDEX(Bills1[Date &lt;d&gt;], ROWS($B$1:$B12)), IFERROR(MONTH($A$2+32)&amp;"/"&amp;INDEX(DAY(Bills2[Date &lt;d&gt;]), (ROWS($B$1:$B12)-ROWS(Bills1[Date &lt;d&gt;]))), ""))), "")</f>
        <v/>
      </c>
      <c r="E13" s="130" t="str">
        <f>IF(IFERROR(INDEX(Bills1[Amount],ROWS($B$1:$B12)),IFERROR(INDEX(Bills2[Amount],(ROWS($B$1:$B12)-ROWS(Bills1[Amount]))),))&gt;0,-IFERROR(INDEX(Bills1[Amount],ROWS($B$1:$B12)),IFERROR(INDEX(Bills2[Amount],(ROWS($B$1:$B12)-ROWS(Bills1[Amount]))),)), "")</f>
        <v/>
      </c>
      <c r="G13" s="129" t="str">
        <f ca="1">IF(ISNUMBER(bills_curr_plus2[[#This Row],[bills]]), IF(OR(MONTH($D$2)=12, YEAR($D$2)=YEAR(TODAY())+1), IFERROR(MONTH($D$2+32)&amp;"/"&amp;INDEX(Bills1[Date &lt;d&gt;], ROWS($B$1:$B12))&amp;"/"&amp;$C$51, IFERROR(MONTH($D$2+32)&amp;"/"&amp;INDEX(DAY(Bills2[Date &lt;d&gt;]), (ROWS($B$1:$B12)-ROWS(Bills1[Date &lt;d&gt;])))&amp;"/"&amp;$C$51, "")), IFERROR(MONTH($D$2+32)&amp;"/"&amp;INDEX(Bills1[Date &lt;d&gt;], ROWS($B$1:$B12)), IFERROR(MONTH($D$2+32)&amp;"/"&amp;INDEX(DAY(Bills2[Date &lt;d&gt;]), (ROWS($B$1:$B12)-ROWS(Bills1[Date &lt;d&gt;]))), ""))), "")</f>
        <v/>
      </c>
      <c r="H13" s="130" t="str">
        <f>IF(IFERROR(INDEX(Bills1[Amount],ROWS($B$1:$B12)),IFERROR(INDEX(Bills2[Amount],(ROWS($B$1:$B12)-ROWS(Bills1[Amount]))),))&gt;0,-IFERROR(INDEX(Bills1[Amount],ROWS($B$1:$B12)),IFERROR(INDEX(Bills2[Amount],(ROWS($B$1:$B12)-ROWS(Bills1[Amount]))),)), "")</f>
        <v/>
      </c>
      <c r="J13" s="129" t="str">
        <f ca="1">IF(ISNUMBER(bills_curr_plus3[[#This Row],[bills]]), IF(OR(MONTH($G$2)=12, YEAR($G$2)=YEAR(TODAY())+1), IFERROR(MONTH($G$2+32)&amp;"/"&amp;INDEX(Bills1[Date &lt;d&gt;], ROWS($B$1:$B12))&amp;"/"&amp;$C$51, IFERROR(MONTH($G$2+32)&amp;"/"&amp;INDEX(DAY(Bills2[Date &lt;d&gt;]), (ROWS($B$1:$B12)-ROWS(Bills1[Date &lt;d&gt;])))&amp;"/"&amp;$C$51, "")), IFERROR(MONTH($G$2+32)&amp;"/"&amp;INDEX(Bills1[Date &lt;d&gt;], ROWS($B$1:$B12)), IFERROR(MONTH($G$2+32)&amp;"/"&amp;INDEX(DAY(Bills2[Date &lt;d&gt;]), (ROWS($B$1:$B12)-ROWS(Bills1[Date &lt;d&gt;]))), ""))), "")</f>
        <v/>
      </c>
      <c r="K13" s="130" t="str">
        <f>IF(IFERROR(INDEX(Bills1[Amount],ROWS($B$1:$B12)),IFERROR(INDEX(Bills2[Amount],(ROWS($B$1:$B12)-ROWS(Bills1[Amount]))),))&gt;0,-IFERROR(INDEX(Bills1[Amount],ROWS($B$1:$B12)),IFERROR(INDEX(Bills2[Amount],(ROWS($B$1:$B12)-ROWS(Bills1[Amount]))),)), "")</f>
        <v/>
      </c>
      <c r="M13" s="129" t="str">
        <f ca="1">IF(ISNUMBER(bills_curr_plus4[[#This Row],[bills]]), IF(OR(MONTH($J$2)=12, YEAR($J$2)=YEAR(TODAY())+1), IFERROR(MONTH($J$2+32)&amp;"/"&amp;INDEX(Bills1[Date &lt;d&gt;], ROWS($B$1:$B12))&amp;"/"&amp;$C$51, IFERROR(MONTH($J$2+32)&amp;"/"&amp;INDEX(DAY(Bills2[Date &lt;d&gt;]), (ROWS($B$1:$B12)-ROWS(Bills1[Date &lt;d&gt;])))&amp;"/"&amp;$C$51, "")), IFERROR(MONTH($J$2+32)&amp;"/"&amp;INDEX(Bills1[Date &lt;d&gt;], ROWS($B$1:$B12)), IFERROR(MONTH($J$2+32)&amp;"/"&amp;INDEX(DAY(Bills2[Date &lt;d&gt;]), (ROWS($B$1:$B12)-ROWS(Bills1[Date &lt;d&gt;]))), ""))), "")</f>
        <v/>
      </c>
      <c r="N13" s="130" t="str">
        <f>IF(IFERROR(INDEX(Bills1[Amount],ROWS($B$1:$B12)),IFERROR(INDEX(Bills2[Amount],(ROWS($B$1:$B12)-ROWS(Bills1[Amount]))),))&gt;0,-IFERROR(INDEX(Bills1[Amount],ROWS($B$1:$B12)),IFERROR(INDEX(Bills2[Amount],(ROWS($B$1:$B12)-ROWS(Bills1[Amount]))),)), "")</f>
        <v/>
      </c>
      <c r="P13" s="129" t="str">
        <f ca="1">IF(ISNUMBER(bills_curr_plus5[[#This Row],[bills]]), IF(OR(MONTH($M$2)=12, YEAR($M$2)=YEAR(TODAY())+1), IFERROR(MONTH($M$2+32)&amp;"/"&amp;INDEX(Bills1[Date &lt;d&gt;], ROWS($B$1:$B12))&amp;"/"&amp;$C$51, IFERROR(MONTH($M$2+32)&amp;"/"&amp;INDEX(DAY(Bills2[Date &lt;d&gt;]), (ROWS($B$1:$B12)-ROWS(Bills1[Date &lt;d&gt;])))&amp;"/"&amp;$C$51, "")), IFERROR(MONTH($M$2+32)&amp;"/"&amp;INDEX(Bills1[Date &lt;d&gt;], ROWS($B$1:$B12)), IFERROR(MONTH($M$2+32)&amp;"/"&amp;INDEX(DAY(Bills2[Date &lt;d&gt;]), (ROWS($B$1:$B12)-ROWS(Bills1[Date &lt;d&gt;]))), ""))), "")</f>
        <v/>
      </c>
      <c r="Q13" s="130" t="str">
        <f>IF(IFERROR(INDEX(Bills1[Amount],ROWS($B$1:$B12)),IFERROR(INDEX(Bills2[Amount],(ROWS($B$1:$B12)-ROWS(Bills1[Amount]))),))&gt;0,-IFERROR(INDEX(Bills1[Amount],ROWS($B$1:$B12)),IFERROR(INDEX(Bills2[Amount],(ROWS($B$1:$B12)-ROWS(Bills1[Amount]))),)), "")</f>
        <v/>
      </c>
      <c r="R13" s="130"/>
      <c r="S13" s="129" t="str">
        <f ca="1">IF(ISNUMBER(bills_curr_plus6[[#This Row],[bills]]),
IF(OR(MONTH($P$2)=12, YEAR($P$2)=YEAR(TODAY())+1),
IFERROR(MONTH($P$2+32)&amp;"/"&amp;INDEX(Bills1[Date &lt;d&gt;], ROWS($B$1:$B12))&amp;"/"&amp;$C$51,
IFERROR(MONTH($P$2+32)&amp;"/"&amp;INDEX(DAY(Bills2[Date &lt;d&gt;]), (ROWS($B$1:$B12)-ROWS(Bills1[Date &lt;d&gt;])))&amp;"/"&amp;$C$51, "")),
IFERROR(MONTH($P$2+32)&amp;"/"&amp;INDEX(Bills1[Date &lt;d&gt;], ROWS($B$1:$B12)),
IFERROR(MONTH($P$2+32)&amp;"/"&amp;INDEX(DAY(Bills2[Date &lt;d&gt;]), (ROWS($B$1:$B12)-ROWS(Bills1[Date &lt;d&gt;]))), ""))), "")</f>
        <v/>
      </c>
      <c r="T13" s="130" t="str">
        <f>IF(IFERROR(INDEX(Bills1[Amount],ROWS($B$1:$B12)),
IFERROR(INDEX(Bills2[Amount],(ROWS($B$1:$B12)-ROWS(Bills1[Amount]))),))&gt;0,
-IFERROR(INDEX(Bills1[Amount],ROWS($B$1:$B12)),
IFERROR(INDEX(Bills2[Amount],(ROWS($B$1:$B12)-ROWS(Bills1[Amount]))),)), "")</f>
        <v/>
      </c>
      <c r="V13" s="129">
        <v>43781</v>
      </c>
      <c r="W13" s="1">
        <f>DAY(income_future[[#This Row],[dates]])</f>
        <v>12</v>
      </c>
      <c r="X13" s="130">
        <f ca="1">SUMIF(income_curr[mod( )], MOD(V13, 14), income_curr[income])</f>
        <v>0</v>
      </c>
      <c r="Z13" s="132" t="str">
        <f ca="1">IF(TEXT(Table10[[#This Row],[dates]], "ddd")="Mon", 999999999, "")</f>
        <v/>
      </c>
      <c r="AA13" s="132" t="str">
        <f ca="1">IF(TODAY()=Table10[[#This Row],[dates]], TEXT(DATE(2019, MONTH(Table10[[#This Row],[dates]]), 1), "mmm"), IFERROR(IF(MONTH(Table10[[#This Row],[dates]])&lt;&gt;MONTH(AC12), TEXT(DATE(2019, MONTH(Table10[[#This Row],[dates]]), 1), "mmm"), ""), ""))</f>
        <v/>
      </c>
      <c r="AB13" s="133">
        <f ca="1">DAY('Data Preparation'!$AC13)</f>
        <v>21</v>
      </c>
      <c r="AC13" s="134">
        <f t="shared" ca="1" si="0"/>
        <v>43790</v>
      </c>
      <c r="AD1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 s="136">
        <f ca="1">IFERROR(
IF(MONTH(Table10[[#This Row],[dates]])&lt;&gt;MONTH($AC12), Table10[[#This Row],[delta $]]+AE12-SUM(Bills3[Amount]), N("deducts other bills at the end of each month")+
IF(Table10[[#This Row],[delta $]]&lt;&gt;0, Table10[[#This Row],[delta $]]+AE12,
AE12)),
"")</f>
        <v>2788</v>
      </c>
      <c r="AF13" s="136">
        <f ca="1">Table10[[#This Row],[sum per date]]-IF(MONTH(Table10[[#This Row],[dates]])=MONTH(TODAY()),
SUMIF(Bills3[Paid?], "&lt;&gt;Y", Bills3[Amount]), SUM(Bills3[Amount]))</f>
        <v>2668</v>
      </c>
      <c r="AG13" s="136" t="e">
        <f ca="1">IF(AND(
Table10[[#This Row],[fluctuation]]=MIN(INDEX(Table10[fluctuation], MATCH(TODAY(),Table10[dates], 0)):INDEX(Table10[fluctuation], MATCH(end_date,Table10[dates], 0))),
OR(ISNA(INDEX($AF$2:AF12, MATCH(Table10[[#This Row],[fluctuation]], $AF$2:AF12, 0))), ROW(AG13)=2)),
Table10[[#This Row],[fluctuation]],
NA())</f>
        <v>#N/A</v>
      </c>
    </row>
    <row r="14" spans="1:52" x14ac:dyDescent="0.25">
      <c r="A14" s="129" t="str">
        <f ca="1">IF(ISNUMBER(bills_curr_mo[[#This Row],[bills]]), IFERROR(MONTH(TODAY())&amp;"/"&amp;INDEX(Bills1[Date &lt;d&gt;], ROWS(B$1:$B13)), IFERROR(MONTH(TODAY())&amp;"/"&amp;INDEX(DAY(Bills2[Date &lt;d&gt;]), (ROWS(B$1:$B13)-ROWS(Bills1[Date &lt;d&gt;]))), "")), "")</f>
        <v/>
      </c>
      <c r="B14" s="130" t="str">
        <f>IF(IFERROR(INDEX(Bills1[Amount],ROWS($B$1:$B13)),IFERROR(INDEX(Bills2[Amount],(ROWS($B$1:$B13)-ROWS(Bills1[Amount]))),))&gt;0,-IFERROR(INDEX(Bills1[Amount],ROWS($B$1:$B13)),IFERROR(INDEX(Bills2[Amount],(ROWS($B$1:$B13)-ROWS(Bills1[Amount]))),)), "")</f>
        <v/>
      </c>
      <c r="D14" s="129" t="str">
        <f ca="1">IF(ISNUMBER(bills_curr_plus1[[#This Row],[bills]]), IF(OR(MONTH($A$2)=12, YEAR($A$2)=YEAR(TODAY())+1), IFERROR(MONTH($A$2+32)&amp;"/"&amp;INDEX(Bills1[Date &lt;d&gt;], ROWS($B$1:$B13))&amp;"/"&amp;$C$51, IFERROR(MONTH($A$2+32)&amp;"/"&amp;INDEX(DAY(Bills2[Date &lt;d&gt;]), (ROWS($B$1:$B13)-ROWS(Bills1[Date &lt;d&gt;])))&amp;"/"&amp;$C$51, "")), IFERROR(MONTH($A$2+32)&amp;"/"&amp;INDEX(Bills1[Date &lt;d&gt;], ROWS($B$1:$B13)), IFERROR(MONTH($A$2+32)&amp;"/"&amp;INDEX(DAY(Bills2[Date &lt;d&gt;]), (ROWS($B$1:$B13)-ROWS(Bills1[Date &lt;d&gt;]))), ""))), "")</f>
        <v/>
      </c>
      <c r="E14" s="130" t="str">
        <f>IF(IFERROR(INDEX(Bills1[Amount],ROWS($B$1:$B13)),IFERROR(INDEX(Bills2[Amount],(ROWS($B$1:$B13)-ROWS(Bills1[Amount]))),))&gt;0,-IFERROR(INDEX(Bills1[Amount],ROWS($B$1:$B13)),IFERROR(INDEX(Bills2[Amount],(ROWS($B$1:$B13)-ROWS(Bills1[Amount]))),)), "")</f>
        <v/>
      </c>
      <c r="G14" s="129" t="str">
        <f ca="1">IF(ISNUMBER(bills_curr_plus2[[#This Row],[bills]]), IF(OR(MONTH($D$2)=12, YEAR($D$2)=YEAR(TODAY())+1), IFERROR(MONTH($D$2+32)&amp;"/"&amp;INDEX(Bills1[Date &lt;d&gt;], ROWS($B$1:$B13))&amp;"/"&amp;$C$51, IFERROR(MONTH($D$2+32)&amp;"/"&amp;INDEX(DAY(Bills2[Date &lt;d&gt;]), (ROWS($B$1:$B13)-ROWS(Bills1[Date &lt;d&gt;])))&amp;"/"&amp;$C$51, "")), IFERROR(MONTH($D$2+32)&amp;"/"&amp;INDEX(Bills1[Date &lt;d&gt;], ROWS($B$1:$B13)), IFERROR(MONTH($D$2+32)&amp;"/"&amp;INDEX(DAY(Bills2[Date &lt;d&gt;]), (ROWS($B$1:$B13)-ROWS(Bills1[Date &lt;d&gt;]))), ""))), "")</f>
        <v/>
      </c>
      <c r="H14" s="130" t="str">
        <f>IF(IFERROR(INDEX(Bills1[Amount],ROWS($B$1:$B13)),IFERROR(INDEX(Bills2[Amount],(ROWS($B$1:$B13)-ROWS(Bills1[Amount]))),))&gt;0,-IFERROR(INDEX(Bills1[Amount],ROWS($B$1:$B13)),IFERROR(INDEX(Bills2[Amount],(ROWS($B$1:$B13)-ROWS(Bills1[Amount]))),)), "")</f>
        <v/>
      </c>
      <c r="J14" s="129" t="str">
        <f ca="1">IF(ISNUMBER(bills_curr_plus3[[#This Row],[bills]]), IF(OR(MONTH($G$2)=12, YEAR($G$2)=YEAR(TODAY())+1), IFERROR(MONTH($G$2+32)&amp;"/"&amp;INDEX(Bills1[Date &lt;d&gt;], ROWS($B$1:$B13))&amp;"/"&amp;$C$51, IFERROR(MONTH($G$2+32)&amp;"/"&amp;INDEX(DAY(Bills2[Date &lt;d&gt;]), (ROWS($B$1:$B13)-ROWS(Bills1[Date &lt;d&gt;])))&amp;"/"&amp;$C$51, "")), IFERROR(MONTH($G$2+32)&amp;"/"&amp;INDEX(Bills1[Date &lt;d&gt;], ROWS($B$1:$B13)), IFERROR(MONTH($G$2+32)&amp;"/"&amp;INDEX(DAY(Bills2[Date &lt;d&gt;]), (ROWS($B$1:$B13)-ROWS(Bills1[Date &lt;d&gt;]))), ""))), "")</f>
        <v/>
      </c>
      <c r="K14" s="130" t="str">
        <f>IF(IFERROR(INDEX(Bills1[Amount],ROWS($B$1:$B13)),IFERROR(INDEX(Bills2[Amount],(ROWS($B$1:$B13)-ROWS(Bills1[Amount]))),))&gt;0,-IFERROR(INDEX(Bills1[Amount],ROWS($B$1:$B13)),IFERROR(INDEX(Bills2[Amount],(ROWS($B$1:$B13)-ROWS(Bills1[Amount]))),)), "")</f>
        <v/>
      </c>
      <c r="M14" s="129" t="str">
        <f ca="1">IF(ISNUMBER(bills_curr_plus4[[#This Row],[bills]]), IF(OR(MONTH($J$2)=12, YEAR($J$2)=YEAR(TODAY())+1), IFERROR(MONTH($J$2+32)&amp;"/"&amp;INDEX(Bills1[Date &lt;d&gt;], ROWS($B$1:$B13))&amp;"/"&amp;$C$51, IFERROR(MONTH($J$2+32)&amp;"/"&amp;INDEX(DAY(Bills2[Date &lt;d&gt;]), (ROWS($B$1:$B13)-ROWS(Bills1[Date &lt;d&gt;])))&amp;"/"&amp;$C$51, "")), IFERROR(MONTH($J$2+32)&amp;"/"&amp;INDEX(Bills1[Date &lt;d&gt;], ROWS($B$1:$B13)), IFERROR(MONTH($J$2+32)&amp;"/"&amp;INDEX(DAY(Bills2[Date &lt;d&gt;]), (ROWS($B$1:$B13)-ROWS(Bills1[Date &lt;d&gt;]))), ""))), "")</f>
        <v/>
      </c>
      <c r="N14" s="130" t="str">
        <f>IF(IFERROR(INDEX(Bills1[Amount],ROWS($B$1:$B13)),IFERROR(INDEX(Bills2[Amount],(ROWS($B$1:$B13)-ROWS(Bills1[Amount]))),))&gt;0,-IFERROR(INDEX(Bills1[Amount],ROWS($B$1:$B13)),IFERROR(INDEX(Bills2[Amount],(ROWS($B$1:$B13)-ROWS(Bills1[Amount]))),)), "")</f>
        <v/>
      </c>
      <c r="P14" s="129" t="str">
        <f ca="1">IF(ISNUMBER(bills_curr_plus5[[#This Row],[bills]]), IF(OR(MONTH($M$2)=12, YEAR($M$2)=YEAR(TODAY())+1), IFERROR(MONTH($M$2+32)&amp;"/"&amp;INDEX(Bills1[Date &lt;d&gt;], ROWS($B$1:$B13))&amp;"/"&amp;$C$51, IFERROR(MONTH($M$2+32)&amp;"/"&amp;INDEX(DAY(Bills2[Date &lt;d&gt;]), (ROWS($B$1:$B13)-ROWS(Bills1[Date &lt;d&gt;])))&amp;"/"&amp;$C$51, "")), IFERROR(MONTH($M$2+32)&amp;"/"&amp;INDEX(Bills1[Date &lt;d&gt;], ROWS($B$1:$B13)), IFERROR(MONTH($M$2+32)&amp;"/"&amp;INDEX(DAY(Bills2[Date &lt;d&gt;]), (ROWS($B$1:$B13)-ROWS(Bills1[Date &lt;d&gt;]))), ""))), "")</f>
        <v/>
      </c>
      <c r="Q14" s="130" t="str">
        <f>IF(IFERROR(INDEX(Bills1[Amount],ROWS($B$1:$B13)),IFERROR(INDEX(Bills2[Amount],(ROWS($B$1:$B13)-ROWS(Bills1[Amount]))),))&gt;0,-IFERROR(INDEX(Bills1[Amount],ROWS($B$1:$B13)),IFERROR(INDEX(Bills2[Amount],(ROWS($B$1:$B13)-ROWS(Bills1[Amount]))),)), "")</f>
        <v/>
      </c>
      <c r="R14" s="130"/>
      <c r="S14" s="129" t="str">
        <f ca="1">IF(ISNUMBER(bills_curr_plus6[[#This Row],[bills]]),
IF(OR(MONTH($P$2)=12, YEAR($P$2)=YEAR(TODAY())+1),
IFERROR(MONTH($P$2+32)&amp;"/"&amp;INDEX(Bills1[Date &lt;d&gt;], ROWS($B$1:$B13))&amp;"/"&amp;$C$51,
IFERROR(MONTH($P$2+32)&amp;"/"&amp;INDEX(DAY(Bills2[Date &lt;d&gt;]), (ROWS($B$1:$B13)-ROWS(Bills1[Date &lt;d&gt;])))&amp;"/"&amp;$C$51, "")),
IFERROR(MONTH($P$2+32)&amp;"/"&amp;INDEX(Bills1[Date &lt;d&gt;], ROWS($B$1:$B13)),
IFERROR(MONTH($P$2+32)&amp;"/"&amp;INDEX(DAY(Bills2[Date &lt;d&gt;]), (ROWS($B$1:$B13)-ROWS(Bills1[Date &lt;d&gt;]))), ""))), "")</f>
        <v/>
      </c>
      <c r="T14" s="130" t="str">
        <f>IF(IFERROR(INDEX(Bills1[Amount],ROWS($B$1:$B13)),
IFERROR(INDEX(Bills2[Amount],(ROWS($B$1:$B13)-ROWS(Bills1[Amount]))),))&gt;0,
-IFERROR(INDEX(Bills1[Amount],ROWS($B$1:$B13)),
IFERROR(INDEX(Bills2[Amount],(ROWS($B$1:$B13)-ROWS(Bills1[Amount]))),)), "")</f>
        <v/>
      </c>
      <c r="V14" s="129">
        <v>43782</v>
      </c>
      <c r="W14" s="1">
        <f>DAY(income_future[[#This Row],[dates]])</f>
        <v>13</v>
      </c>
      <c r="X14" s="130">
        <f ca="1">SUMIF(income_curr[mod( )], MOD(V14, 14), income_curr[income])</f>
        <v>0</v>
      </c>
      <c r="Z14" s="132" t="str">
        <f ca="1">IF(TEXT(Table10[[#This Row],[dates]], "ddd")="Mon", 999999999, "")</f>
        <v/>
      </c>
      <c r="AA14" s="132" t="str">
        <f ca="1">IF(TODAY()=Table10[[#This Row],[dates]], TEXT(DATE(2019, MONTH(Table10[[#This Row],[dates]]), 1), "mmm"), IFERROR(IF(MONTH(Table10[[#This Row],[dates]])&lt;&gt;MONTH(AC13), TEXT(DATE(2019, MONTH(Table10[[#This Row],[dates]]), 1), "mmm"), ""), ""))</f>
        <v/>
      </c>
      <c r="AB14" s="133">
        <f ca="1">DAY('Data Preparation'!$AC14)</f>
        <v>22</v>
      </c>
      <c r="AC14" s="134">
        <f t="shared" ca="1" si="0"/>
        <v>43791</v>
      </c>
      <c r="AD1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 s="136">
        <f ca="1">IFERROR(
IF(MONTH(Table10[[#This Row],[dates]])&lt;&gt;MONTH($AC13), Table10[[#This Row],[delta $]]+AE13-SUM(Bills3[Amount]), N("deducts other bills at the end of each month")+
IF(Table10[[#This Row],[delta $]]&lt;&gt;0, Table10[[#This Row],[delta $]]+AE13,
AE13)),
"")</f>
        <v>2788</v>
      </c>
      <c r="AF14" s="136">
        <f ca="1">Table10[[#This Row],[sum per date]]-IF(MONTH(Table10[[#This Row],[dates]])=MONTH(TODAY()),
SUMIF(Bills3[Paid?], "&lt;&gt;Y", Bills3[Amount]), SUM(Bills3[Amount]))</f>
        <v>2668</v>
      </c>
      <c r="AG14" s="136" t="e">
        <f ca="1">IF(AND(
Table10[[#This Row],[fluctuation]]=MIN(INDEX(Table10[fluctuation], MATCH(TODAY(),Table10[dates], 0)):INDEX(Table10[fluctuation], MATCH(end_date,Table10[dates], 0))),
OR(ISNA(INDEX($AF$2:AF13, MATCH(Table10[[#This Row],[fluctuation]], $AF$2:AF13, 0))), ROW(AG14)=2)),
Table10[[#This Row],[fluctuation]],
NA())</f>
        <v>#N/A</v>
      </c>
    </row>
    <row r="15" spans="1:52" x14ac:dyDescent="0.25">
      <c r="A15" s="129" t="str">
        <f ca="1">IF(ISNUMBER(bills_curr_mo[[#This Row],[bills]]), IFERROR(MONTH(TODAY())&amp;"/"&amp;INDEX(Bills1[Date &lt;d&gt;], ROWS(B$1:$B14)), IFERROR(MONTH(TODAY())&amp;"/"&amp;INDEX(DAY(Bills2[Date &lt;d&gt;]), (ROWS(B$1:$B14)-ROWS(Bills1[Date &lt;d&gt;]))), "")), "")</f>
        <v/>
      </c>
      <c r="B15" s="130" t="str">
        <f>IF(IFERROR(INDEX(Bills1[Amount],ROWS($B$1:$B14)),IFERROR(INDEX(Bills2[Amount],(ROWS($B$1:$B14)-ROWS(Bills1[Amount]))),))&gt;0,-IFERROR(INDEX(Bills1[Amount],ROWS($B$1:$B14)),IFERROR(INDEX(Bills2[Amount],(ROWS($B$1:$B14)-ROWS(Bills1[Amount]))),)), "")</f>
        <v/>
      </c>
      <c r="D15" s="129" t="str">
        <f ca="1">IF(ISNUMBER(bills_curr_plus1[[#This Row],[bills]]), IF(OR(MONTH($A$2)=12, YEAR($A$2)=YEAR(TODAY())+1), IFERROR(MONTH($A$2+32)&amp;"/"&amp;INDEX(Bills1[Date &lt;d&gt;], ROWS($B$1:$B14))&amp;"/"&amp;$C$51, IFERROR(MONTH($A$2+32)&amp;"/"&amp;INDEX(DAY(Bills2[Date &lt;d&gt;]), (ROWS($B$1:$B14)-ROWS(Bills1[Date &lt;d&gt;])))&amp;"/"&amp;$C$51, "")), IFERROR(MONTH($A$2+32)&amp;"/"&amp;INDEX(Bills1[Date &lt;d&gt;], ROWS($B$1:$B14)), IFERROR(MONTH($A$2+32)&amp;"/"&amp;INDEX(DAY(Bills2[Date &lt;d&gt;]), (ROWS($B$1:$B14)-ROWS(Bills1[Date &lt;d&gt;]))), ""))), "")</f>
        <v/>
      </c>
      <c r="E15" s="130" t="str">
        <f>IF(IFERROR(INDEX(Bills1[Amount],ROWS($B$1:$B14)),IFERROR(INDEX(Bills2[Amount],(ROWS($B$1:$B14)-ROWS(Bills1[Amount]))),))&gt;0,-IFERROR(INDEX(Bills1[Amount],ROWS($B$1:$B14)),IFERROR(INDEX(Bills2[Amount],(ROWS($B$1:$B14)-ROWS(Bills1[Amount]))),)), "")</f>
        <v/>
      </c>
      <c r="G15" s="129" t="str">
        <f ca="1">IF(ISNUMBER(bills_curr_plus2[[#This Row],[bills]]), IF(OR(MONTH($D$2)=12, YEAR($D$2)=YEAR(TODAY())+1), IFERROR(MONTH($D$2+32)&amp;"/"&amp;INDEX(Bills1[Date &lt;d&gt;], ROWS($B$1:$B14))&amp;"/"&amp;$C$51, IFERROR(MONTH($D$2+32)&amp;"/"&amp;INDEX(DAY(Bills2[Date &lt;d&gt;]), (ROWS($B$1:$B14)-ROWS(Bills1[Date &lt;d&gt;])))&amp;"/"&amp;$C$51, "")), IFERROR(MONTH($D$2+32)&amp;"/"&amp;INDEX(Bills1[Date &lt;d&gt;], ROWS($B$1:$B14)), IFERROR(MONTH($D$2+32)&amp;"/"&amp;INDEX(DAY(Bills2[Date &lt;d&gt;]), (ROWS($B$1:$B14)-ROWS(Bills1[Date &lt;d&gt;]))), ""))), "")</f>
        <v/>
      </c>
      <c r="H15" s="130" t="str">
        <f>IF(IFERROR(INDEX(Bills1[Amount],ROWS($B$1:$B14)),IFERROR(INDEX(Bills2[Amount],(ROWS($B$1:$B14)-ROWS(Bills1[Amount]))),))&gt;0,-IFERROR(INDEX(Bills1[Amount],ROWS($B$1:$B14)),IFERROR(INDEX(Bills2[Amount],(ROWS($B$1:$B14)-ROWS(Bills1[Amount]))),)), "")</f>
        <v/>
      </c>
      <c r="J15" s="129" t="str">
        <f ca="1">IF(ISNUMBER(bills_curr_plus3[[#This Row],[bills]]), IF(OR(MONTH($G$2)=12, YEAR($G$2)=YEAR(TODAY())+1), IFERROR(MONTH($G$2+32)&amp;"/"&amp;INDEX(Bills1[Date &lt;d&gt;], ROWS($B$1:$B14))&amp;"/"&amp;$C$51, IFERROR(MONTH($G$2+32)&amp;"/"&amp;INDEX(DAY(Bills2[Date &lt;d&gt;]), (ROWS($B$1:$B14)-ROWS(Bills1[Date &lt;d&gt;])))&amp;"/"&amp;$C$51, "")), IFERROR(MONTH($G$2+32)&amp;"/"&amp;INDEX(Bills1[Date &lt;d&gt;], ROWS($B$1:$B14)), IFERROR(MONTH($G$2+32)&amp;"/"&amp;INDEX(DAY(Bills2[Date &lt;d&gt;]), (ROWS($B$1:$B14)-ROWS(Bills1[Date &lt;d&gt;]))), ""))), "")</f>
        <v/>
      </c>
      <c r="K15" s="130" t="str">
        <f>IF(IFERROR(INDEX(Bills1[Amount],ROWS($B$1:$B14)),IFERROR(INDEX(Bills2[Amount],(ROWS($B$1:$B14)-ROWS(Bills1[Amount]))),))&gt;0,-IFERROR(INDEX(Bills1[Amount],ROWS($B$1:$B14)),IFERROR(INDEX(Bills2[Amount],(ROWS($B$1:$B14)-ROWS(Bills1[Amount]))),)), "")</f>
        <v/>
      </c>
      <c r="M15" s="129" t="str">
        <f ca="1">IF(ISNUMBER(bills_curr_plus4[[#This Row],[bills]]), IF(OR(MONTH($J$2)=12, YEAR($J$2)=YEAR(TODAY())+1), IFERROR(MONTH($J$2+32)&amp;"/"&amp;INDEX(Bills1[Date &lt;d&gt;], ROWS($B$1:$B14))&amp;"/"&amp;$C$51, IFERROR(MONTH($J$2+32)&amp;"/"&amp;INDEX(DAY(Bills2[Date &lt;d&gt;]), (ROWS($B$1:$B14)-ROWS(Bills1[Date &lt;d&gt;])))&amp;"/"&amp;$C$51, "")), IFERROR(MONTH($J$2+32)&amp;"/"&amp;INDEX(Bills1[Date &lt;d&gt;], ROWS($B$1:$B14)), IFERROR(MONTH($J$2+32)&amp;"/"&amp;INDEX(DAY(Bills2[Date &lt;d&gt;]), (ROWS($B$1:$B14)-ROWS(Bills1[Date &lt;d&gt;]))), ""))), "")</f>
        <v/>
      </c>
      <c r="N15" s="130" t="str">
        <f>IF(IFERROR(INDEX(Bills1[Amount],ROWS($B$1:$B14)),IFERROR(INDEX(Bills2[Amount],(ROWS($B$1:$B14)-ROWS(Bills1[Amount]))),))&gt;0,-IFERROR(INDEX(Bills1[Amount],ROWS($B$1:$B14)),IFERROR(INDEX(Bills2[Amount],(ROWS($B$1:$B14)-ROWS(Bills1[Amount]))),)), "")</f>
        <v/>
      </c>
      <c r="P15" s="129" t="str">
        <f ca="1">IF(ISNUMBER(bills_curr_plus5[[#This Row],[bills]]), IF(OR(MONTH($M$2)=12, YEAR($M$2)=YEAR(TODAY())+1), IFERROR(MONTH($M$2+32)&amp;"/"&amp;INDEX(Bills1[Date &lt;d&gt;], ROWS($B$1:$B14))&amp;"/"&amp;$C$51, IFERROR(MONTH($M$2+32)&amp;"/"&amp;INDEX(DAY(Bills2[Date &lt;d&gt;]), (ROWS($B$1:$B14)-ROWS(Bills1[Date &lt;d&gt;])))&amp;"/"&amp;$C$51, "")), IFERROR(MONTH($M$2+32)&amp;"/"&amp;INDEX(Bills1[Date &lt;d&gt;], ROWS($B$1:$B14)), IFERROR(MONTH($M$2+32)&amp;"/"&amp;INDEX(DAY(Bills2[Date &lt;d&gt;]), (ROWS($B$1:$B14)-ROWS(Bills1[Date &lt;d&gt;]))), ""))), "")</f>
        <v/>
      </c>
      <c r="Q15" s="130" t="str">
        <f>IF(IFERROR(INDEX(Bills1[Amount],ROWS($B$1:$B14)),IFERROR(INDEX(Bills2[Amount],(ROWS($B$1:$B14)-ROWS(Bills1[Amount]))),))&gt;0,-IFERROR(INDEX(Bills1[Amount],ROWS($B$1:$B14)),IFERROR(INDEX(Bills2[Amount],(ROWS($B$1:$B14)-ROWS(Bills1[Amount]))),)), "")</f>
        <v/>
      </c>
      <c r="R15" s="130"/>
      <c r="S15" s="129" t="str">
        <f ca="1">IF(ISNUMBER(bills_curr_plus6[[#This Row],[bills]]),
IF(OR(MONTH($P$2)=12, YEAR($P$2)=YEAR(TODAY())+1),
IFERROR(MONTH($P$2+32)&amp;"/"&amp;INDEX(Bills1[Date &lt;d&gt;], ROWS($B$1:$B14))&amp;"/"&amp;$C$51,
IFERROR(MONTH($P$2+32)&amp;"/"&amp;INDEX(DAY(Bills2[Date &lt;d&gt;]), (ROWS($B$1:$B14)-ROWS(Bills1[Date &lt;d&gt;])))&amp;"/"&amp;$C$51, "")),
IFERROR(MONTH($P$2+32)&amp;"/"&amp;INDEX(Bills1[Date &lt;d&gt;], ROWS($B$1:$B14)),
IFERROR(MONTH($P$2+32)&amp;"/"&amp;INDEX(DAY(Bills2[Date &lt;d&gt;]), (ROWS($B$1:$B14)-ROWS(Bills1[Date &lt;d&gt;]))), ""))), "")</f>
        <v/>
      </c>
      <c r="T15" s="130" t="str">
        <f>IF(IFERROR(INDEX(Bills1[Amount],ROWS($B$1:$B14)),
IFERROR(INDEX(Bills2[Amount],(ROWS($B$1:$B14)-ROWS(Bills1[Amount]))),))&gt;0,
-IFERROR(INDEX(Bills1[Amount],ROWS($B$1:$B14)),
IFERROR(INDEX(Bills2[Amount],(ROWS($B$1:$B14)-ROWS(Bills1[Amount]))),)), "")</f>
        <v/>
      </c>
      <c r="V15" s="129">
        <v>43783</v>
      </c>
      <c r="W15" s="1">
        <f>DAY(income_future[[#This Row],[dates]])</f>
        <v>14</v>
      </c>
      <c r="X15" s="130">
        <f ca="1">SUMIF(income_curr[mod( )], MOD(V15, 14), income_curr[income])</f>
        <v>0</v>
      </c>
      <c r="Z15" s="132" t="str">
        <f ca="1">IF(TEXT(Table10[[#This Row],[dates]], "ddd")="Mon", 999999999, "")</f>
        <v/>
      </c>
      <c r="AA15" s="132" t="str">
        <f ca="1">IF(TODAY()=Table10[[#This Row],[dates]], TEXT(DATE(2019, MONTH(Table10[[#This Row],[dates]]), 1), "mmm"), IFERROR(IF(MONTH(Table10[[#This Row],[dates]])&lt;&gt;MONTH(AC14), TEXT(DATE(2019, MONTH(Table10[[#This Row],[dates]]), 1), "mmm"), ""), ""))</f>
        <v/>
      </c>
      <c r="AB15" s="133">
        <f ca="1">DAY('Data Preparation'!$AC15)</f>
        <v>23</v>
      </c>
      <c r="AC15" s="134">
        <f t="shared" ca="1" si="0"/>
        <v>43792</v>
      </c>
      <c r="AD1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 s="136">
        <f ca="1">IFERROR(
IF(MONTH(Table10[[#This Row],[dates]])&lt;&gt;MONTH($AC14), Table10[[#This Row],[delta $]]+AE14-SUM(Bills3[Amount]), N("deducts other bills at the end of each month")+
IF(Table10[[#This Row],[delta $]]&lt;&gt;0, Table10[[#This Row],[delta $]]+AE14,
AE14)),
"")</f>
        <v>2788</v>
      </c>
      <c r="AF15" s="136">
        <f ca="1">Table10[[#This Row],[sum per date]]-IF(MONTH(Table10[[#This Row],[dates]])=MONTH(TODAY()),
SUMIF(Bills3[Paid?], "&lt;&gt;Y", Bills3[Amount]), SUM(Bills3[Amount]))</f>
        <v>2668</v>
      </c>
      <c r="AG15" s="136" t="e">
        <f ca="1">IF(AND(
Table10[[#This Row],[fluctuation]]=MIN(INDEX(Table10[fluctuation], MATCH(TODAY(),Table10[dates], 0)):INDEX(Table10[fluctuation], MATCH(end_date,Table10[dates], 0))),
OR(ISNA(INDEX($AF$2:AF14, MATCH(Table10[[#This Row],[fluctuation]], $AF$2:AF14, 0))), ROW(AG15)=2)),
Table10[[#This Row],[fluctuation]],
NA())</f>
        <v>#N/A</v>
      </c>
    </row>
    <row r="16" spans="1:52" x14ac:dyDescent="0.25">
      <c r="A16" s="129" t="str">
        <f ca="1">IF(ISNUMBER(bills_curr_mo[[#This Row],[bills]]), IFERROR(MONTH(TODAY())&amp;"/"&amp;INDEX(Bills1[Date &lt;d&gt;], ROWS(B$1:$B15)), IFERROR(MONTH(TODAY())&amp;"/"&amp;INDEX(DAY(Bills2[Date &lt;d&gt;]), (ROWS(B$1:$B15)-ROWS(Bills1[Date &lt;d&gt;]))), "")), "")</f>
        <v/>
      </c>
      <c r="B16" s="130" t="str">
        <f>IF(IFERROR(INDEX(Bills1[Amount],ROWS($B$1:$B15)),IFERROR(INDEX(Bills2[Amount],(ROWS($B$1:$B15)-ROWS(Bills1[Amount]))),))&gt;0,-IFERROR(INDEX(Bills1[Amount],ROWS($B$1:$B15)),IFERROR(INDEX(Bills2[Amount],(ROWS($B$1:$B15)-ROWS(Bills1[Amount]))),)), "")</f>
        <v/>
      </c>
      <c r="D16" s="129" t="str">
        <f ca="1">IF(ISNUMBER(bills_curr_plus1[[#This Row],[bills]]), IF(OR(MONTH($A$2)=12, YEAR($A$2)=YEAR(TODAY())+1), IFERROR(MONTH($A$2+32)&amp;"/"&amp;INDEX(Bills1[Date &lt;d&gt;], ROWS($B$1:$B15))&amp;"/"&amp;$C$51, IFERROR(MONTH($A$2+32)&amp;"/"&amp;INDEX(DAY(Bills2[Date &lt;d&gt;]), (ROWS($B$1:$B15)-ROWS(Bills1[Date &lt;d&gt;])))&amp;"/"&amp;$C$51, "")), IFERROR(MONTH($A$2+32)&amp;"/"&amp;INDEX(Bills1[Date &lt;d&gt;], ROWS($B$1:$B15)), IFERROR(MONTH($A$2+32)&amp;"/"&amp;INDEX(DAY(Bills2[Date &lt;d&gt;]), (ROWS($B$1:$B15)-ROWS(Bills1[Date &lt;d&gt;]))), ""))), "")</f>
        <v/>
      </c>
      <c r="E16" s="130" t="str">
        <f>IF(IFERROR(INDEX(Bills1[Amount],ROWS($B$1:$B15)),IFERROR(INDEX(Bills2[Amount],(ROWS($B$1:$B15)-ROWS(Bills1[Amount]))),))&gt;0,-IFERROR(INDEX(Bills1[Amount],ROWS($B$1:$B15)),IFERROR(INDEX(Bills2[Amount],(ROWS($B$1:$B15)-ROWS(Bills1[Amount]))),)), "")</f>
        <v/>
      </c>
      <c r="G16" s="129" t="str">
        <f ca="1">IF(ISNUMBER(bills_curr_plus2[[#This Row],[bills]]), IF(OR(MONTH($D$2)=12, YEAR($D$2)=YEAR(TODAY())+1), IFERROR(MONTH($D$2+32)&amp;"/"&amp;INDEX(Bills1[Date &lt;d&gt;], ROWS($B$1:$B15))&amp;"/"&amp;$C$51, IFERROR(MONTH($D$2+32)&amp;"/"&amp;INDEX(DAY(Bills2[Date &lt;d&gt;]), (ROWS($B$1:$B15)-ROWS(Bills1[Date &lt;d&gt;])))&amp;"/"&amp;$C$51, "")), IFERROR(MONTH($D$2+32)&amp;"/"&amp;INDEX(Bills1[Date &lt;d&gt;], ROWS($B$1:$B15)), IFERROR(MONTH($D$2+32)&amp;"/"&amp;INDEX(DAY(Bills2[Date &lt;d&gt;]), (ROWS($B$1:$B15)-ROWS(Bills1[Date &lt;d&gt;]))), ""))), "")</f>
        <v/>
      </c>
      <c r="H16" s="130" t="str">
        <f>IF(IFERROR(INDEX(Bills1[Amount],ROWS($B$1:$B15)),IFERROR(INDEX(Bills2[Amount],(ROWS($B$1:$B15)-ROWS(Bills1[Amount]))),))&gt;0,-IFERROR(INDEX(Bills1[Amount],ROWS($B$1:$B15)),IFERROR(INDEX(Bills2[Amount],(ROWS($B$1:$B15)-ROWS(Bills1[Amount]))),)), "")</f>
        <v/>
      </c>
      <c r="J16" s="129" t="str">
        <f ca="1">IF(ISNUMBER(bills_curr_plus3[[#This Row],[bills]]), IF(OR(MONTH($G$2)=12, YEAR($G$2)=YEAR(TODAY())+1), IFERROR(MONTH($G$2+32)&amp;"/"&amp;INDEX(Bills1[Date &lt;d&gt;], ROWS($B$1:$B15))&amp;"/"&amp;$C$51, IFERROR(MONTH($G$2+32)&amp;"/"&amp;INDEX(DAY(Bills2[Date &lt;d&gt;]), (ROWS($B$1:$B15)-ROWS(Bills1[Date &lt;d&gt;])))&amp;"/"&amp;$C$51, "")), IFERROR(MONTH($G$2+32)&amp;"/"&amp;INDEX(Bills1[Date &lt;d&gt;], ROWS($B$1:$B15)), IFERROR(MONTH($G$2+32)&amp;"/"&amp;INDEX(DAY(Bills2[Date &lt;d&gt;]), (ROWS($B$1:$B15)-ROWS(Bills1[Date &lt;d&gt;]))), ""))), "")</f>
        <v/>
      </c>
      <c r="K16" s="130" t="str">
        <f>IF(IFERROR(INDEX(Bills1[Amount],ROWS($B$1:$B15)),IFERROR(INDEX(Bills2[Amount],(ROWS($B$1:$B15)-ROWS(Bills1[Amount]))),))&gt;0,-IFERROR(INDEX(Bills1[Amount],ROWS($B$1:$B15)),IFERROR(INDEX(Bills2[Amount],(ROWS($B$1:$B15)-ROWS(Bills1[Amount]))),)), "")</f>
        <v/>
      </c>
      <c r="M16" s="129" t="str">
        <f ca="1">IF(ISNUMBER(bills_curr_plus4[[#This Row],[bills]]), IF(OR(MONTH($J$2)=12, YEAR($J$2)=YEAR(TODAY())+1), IFERROR(MONTH($J$2+32)&amp;"/"&amp;INDEX(Bills1[Date &lt;d&gt;], ROWS($B$1:$B15))&amp;"/"&amp;$C$51, IFERROR(MONTH($J$2+32)&amp;"/"&amp;INDEX(DAY(Bills2[Date &lt;d&gt;]), (ROWS($B$1:$B15)-ROWS(Bills1[Date &lt;d&gt;])))&amp;"/"&amp;$C$51, "")), IFERROR(MONTH($J$2+32)&amp;"/"&amp;INDEX(Bills1[Date &lt;d&gt;], ROWS($B$1:$B15)), IFERROR(MONTH($J$2+32)&amp;"/"&amp;INDEX(DAY(Bills2[Date &lt;d&gt;]), (ROWS($B$1:$B15)-ROWS(Bills1[Date &lt;d&gt;]))), ""))), "")</f>
        <v/>
      </c>
      <c r="N16" s="130" t="str">
        <f>IF(IFERROR(INDEX(Bills1[Amount],ROWS($B$1:$B15)),IFERROR(INDEX(Bills2[Amount],(ROWS($B$1:$B15)-ROWS(Bills1[Amount]))),))&gt;0,-IFERROR(INDEX(Bills1[Amount],ROWS($B$1:$B15)),IFERROR(INDEX(Bills2[Amount],(ROWS($B$1:$B15)-ROWS(Bills1[Amount]))),)), "")</f>
        <v/>
      </c>
      <c r="P16" s="129" t="str">
        <f ca="1">IF(ISNUMBER(bills_curr_plus5[[#This Row],[bills]]), IF(OR(MONTH($M$2)=12, YEAR($M$2)=YEAR(TODAY())+1), IFERROR(MONTH($M$2+32)&amp;"/"&amp;INDEX(Bills1[Date &lt;d&gt;], ROWS($B$1:$B15))&amp;"/"&amp;$C$51, IFERROR(MONTH($M$2+32)&amp;"/"&amp;INDEX(DAY(Bills2[Date &lt;d&gt;]), (ROWS($B$1:$B15)-ROWS(Bills1[Date &lt;d&gt;])))&amp;"/"&amp;$C$51, "")), IFERROR(MONTH($M$2+32)&amp;"/"&amp;INDEX(Bills1[Date &lt;d&gt;], ROWS($B$1:$B15)), IFERROR(MONTH($M$2+32)&amp;"/"&amp;INDEX(DAY(Bills2[Date &lt;d&gt;]), (ROWS($B$1:$B15)-ROWS(Bills1[Date &lt;d&gt;]))), ""))), "")</f>
        <v/>
      </c>
      <c r="Q16" s="130" t="str">
        <f>IF(IFERROR(INDEX(Bills1[Amount],ROWS($B$1:$B15)),IFERROR(INDEX(Bills2[Amount],(ROWS($B$1:$B15)-ROWS(Bills1[Amount]))),))&gt;0,-IFERROR(INDEX(Bills1[Amount],ROWS($B$1:$B15)),IFERROR(INDEX(Bills2[Amount],(ROWS($B$1:$B15)-ROWS(Bills1[Amount]))),)), "")</f>
        <v/>
      </c>
      <c r="R16" s="130"/>
      <c r="S16" s="129" t="str">
        <f ca="1">IF(ISNUMBER(bills_curr_plus6[[#This Row],[bills]]),
IF(OR(MONTH($P$2)=12, YEAR($P$2)=YEAR(TODAY())+1),
IFERROR(MONTH($P$2+32)&amp;"/"&amp;INDEX(Bills1[Date &lt;d&gt;], ROWS($B$1:$B15))&amp;"/"&amp;$C$51,
IFERROR(MONTH($P$2+32)&amp;"/"&amp;INDEX(DAY(Bills2[Date &lt;d&gt;]), (ROWS($B$1:$B15)-ROWS(Bills1[Date &lt;d&gt;])))&amp;"/"&amp;$C$51, "")),
IFERROR(MONTH($P$2+32)&amp;"/"&amp;INDEX(Bills1[Date &lt;d&gt;], ROWS($B$1:$B15)),
IFERROR(MONTH($P$2+32)&amp;"/"&amp;INDEX(DAY(Bills2[Date &lt;d&gt;]), (ROWS($B$1:$B15)-ROWS(Bills1[Date &lt;d&gt;]))), ""))), "")</f>
        <v/>
      </c>
      <c r="T16" s="130" t="str">
        <f>IF(IFERROR(INDEX(Bills1[Amount],ROWS($B$1:$B15)),
IFERROR(INDEX(Bills2[Amount],(ROWS($B$1:$B15)-ROWS(Bills1[Amount]))),))&gt;0,
-IFERROR(INDEX(Bills1[Amount],ROWS($B$1:$B15)),
IFERROR(INDEX(Bills2[Amount],(ROWS($B$1:$B15)-ROWS(Bills1[Amount]))),)), "")</f>
        <v/>
      </c>
      <c r="V16" s="129">
        <v>43784</v>
      </c>
      <c r="W16" s="1">
        <f>DAY(income_future[[#This Row],[dates]])</f>
        <v>15</v>
      </c>
      <c r="X16" s="130">
        <f ca="1">SUMIF(income_curr[mod( )], MOD(V16, 14), income_curr[income])</f>
        <v>0</v>
      </c>
      <c r="Z16" s="132" t="str">
        <f ca="1">IF(TEXT(Table10[[#This Row],[dates]], "ddd")="Mon", 999999999, "")</f>
        <v/>
      </c>
      <c r="AA16" s="132" t="str">
        <f ca="1">IF(TODAY()=Table10[[#This Row],[dates]], TEXT(DATE(2019, MONTH(Table10[[#This Row],[dates]]), 1), "mmm"), IFERROR(IF(MONTH(Table10[[#This Row],[dates]])&lt;&gt;MONTH(AC15), TEXT(DATE(2019, MONTH(Table10[[#This Row],[dates]]), 1), "mmm"), ""), ""))</f>
        <v/>
      </c>
      <c r="AB16" s="133">
        <f ca="1">DAY('Data Preparation'!$AC16)</f>
        <v>24</v>
      </c>
      <c r="AC16" s="134">
        <f t="shared" ca="1" si="0"/>
        <v>43793</v>
      </c>
      <c r="AD1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 s="136">
        <f ca="1">IFERROR(
IF(MONTH(Table10[[#This Row],[dates]])&lt;&gt;MONTH($AC15), Table10[[#This Row],[delta $]]+AE15-SUM(Bills3[Amount]), N("deducts other bills at the end of each month")+
IF(Table10[[#This Row],[delta $]]&lt;&gt;0, Table10[[#This Row],[delta $]]+AE15,
AE15)),
"")</f>
        <v>2788</v>
      </c>
      <c r="AF16" s="136">
        <f ca="1">Table10[[#This Row],[sum per date]]-IF(MONTH(Table10[[#This Row],[dates]])=MONTH(TODAY()),
SUMIF(Bills3[Paid?], "&lt;&gt;Y", Bills3[Amount]), SUM(Bills3[Amount]))</f>
        <v>2668</v>
      </c>
      <c r="AG16" s="136" t="e">
        <f ca="1">IF(AND(
Table10[[#This Row],[fluctuation]]=MIN(INDEX(Table10[fluctuation], MATCH(TODAY(),Table10[dates], 0)):INDEX(Table10[fluctuation], MATCH(end_date,Table10[dates], 0))),
OR(ISNA(INDEX($AF$2:AF15, MATCH(Table10[[#This Row],[fluctuation]], $AF$2:AF15, 0))), ROW(AG16)=2)),
Table10[[#This Row],[fluctuation]],
NA())</f>
        <v>#N/A</v>
      </c>
    </row>
    <row r="17" spans="1:38" x14ac:dyDescent="0.25">
      <c r="A17" s="129" t="str">
        <f ca="1">IF(ISNUMBER(bills_curr_mo[[#This Row],[bills]]), IFERROR(MONTH(TODAY())&amp;"/"&amp;INDEX(Bills1[Date &lt;d&gt;], ROWS(B$1:$B16)), IFERROR(MONTH(TODAY())&amp;"/"&amp;INDEX(DAY(Bills2[Date &lt;d&gt;]), (ROWS(B$1:$B16)-ROWS(Bills1[Date &lt;d&gt;]))), "")), "")</f>
        <v/>
      </c>
      <c r="B17" s="130" t="str">
        <f>IF(IFERROR(INDEX(Bills1[Amount],ROWS($B$1:$B16)),IFERROR(INDEX(Bills2[Amount],(ROWS($B$1:$B16)-ROWS(Bills1[Amount]))),))&gt;0,-IFERROR(INDEX(Bills1[Amount],ROWS($B$1:$B16)),IFERROR(INDEX(Bills2[Amount],(ROWS($B$1:$B16)-ROWS(Bills1[Amount]))),)), "")</f>
        <v/>
      </c>
      <c r="D17" s="129" t="str">
        <f ca="1">IF(ISNUMBER(bills_curr_plus1[[#This Row],[bills]]), IF(OR(MONTH($A$2)=12, YEAR($A$2)=YEAR(TODAY())+1), IFERROR(MONTH($A$2+32)&amp;"/"&amp;INDEX(Bills1[Date &lt;d&gt;], ROWS($B$1:$B16))&amp;"/"&amp;$C$51, IFERROR(MONTH($A$2+32)&amp;"/"&amp;INDEX(DAY(Bills2[Date &lt;d&gt;]), (ROWS($B$1:$B16)-ROWS(Bills1[Date &lt;d&gt;])))&amp;"/"&amp;$C$51, "")), IFERROR(MONTH($A$2+32)&amp;"/"&amp;INDEX(Bills1[Date &lt;d&gt;], ROWS($B$1:$B16)), IFERROR(MONTH($A$2+32)&amp;"/"&amp;INDEX(DAY(Bills2[Date &lt;d&gt;]), (ROWS($B$1:$B16)-ROWS(Bills1[Date &lt;d&gt;]))), ""))), "")</f>
        <v/>
      </c>
      <c r="E17" s="130" t="str">
        <f>IF(IFERROR(INDEX(Bills1[Amount],ROWS($B$1:$B16)),IFERROR(INDEX(Bills2[Amount],(ROWS($B$1:$B16)-ROWS(Bills1[Amount]))),))&gt;0,-IFERROR(INDEX(Bills1[Amount],ROWS($B$1:$B16)),IFERROR(INDEX(Bills2[Amount],(ROWS($B$1:$B16)-ROWS(Bills1[Amount]))),)), "")</f>
        <v/>
      </c>
      <c r="G17" s="129" t="str">
        <f ca="1">IF(ISNUMBER(bills_curr_plus2[[#This Row],[bills]]), IF(OR(MONTH($D$2)=12, YEAR($D$2)=YEAR(TODAY())+1), IFERROR(MONTH($D$2+32)&amp;"/"&amp;INDEX(Bills1[Date &lt;d&gt;], ROWS($B$1:$B16))&amp;"/"&amp;$C$51, IFERROR(MONTH($D$2+32)&amp;"/"&amp;INDEX(DAY(Bills2[Date &lt;d&gt;]), (ROWS($B$1:$B16)-ROWS(Bills1[Date &lt;d&gt;])))&amp;"/"&amp;$C$51, "")), IFERROR(MONTH($D$2+32)&amp;"/"&amp;INDEX(Bills1[Date &lt;d&gt;], ROWS($B$1:$B16)), IFERROR(MONTH($D$2+32)&amp;"/"&amp;INDEX(DAY(Bills2[Date &lt;d&gt;]), (ROWS($B$1:$B16)-ROWS(Bills1[Date &lt;d&gt;]))), ""))), "")</f>
        <v/>
      </c>
      <c r="H17" s="130" t="str">
        <f>IF(IFERROR(INDEX(Bills1[Amount],ROWS($B$1:$B16)),IFERROR(INDEX(Bills2[Amount],(ROWS($B$1:$B16)-ROWS(Bills1[Amount]))),))&gt;0,-IFERROR(INDEX(Bills1[Amount],ROWS($B$1:$B16)),IFERROR(INDEX(Bills2[Amount],(ROWS($B$1:$B16)-ROWS(Bills1[Amount]))),)), "")</f>
        <v/>
      </c>
      <c r="J17" s="129" t="str">
        <f ca="1">IF(ISNUMBER(bills_curr_plus3[[#This Row],[bills]]), IF(OR(MONTH($G$2)=12, YEAR($G$2)=YEAR(TODAY())+1), IFERROR(MONTH($G$2+32)&amp;"/"&amp;INDEX(Bills1[Date &lt;d&gt;], ROWS($B$1:$B16))&amp;"/"&amp;$C$51, IFERROR(MONTH($G$2+32)&amp;"/"&amp;INDEX(DAY(Bills2[Date &lt;d&gt;]), (ROWS($B$1:$B16)-ROWS(Bills1[Date &lt;d&gt;])))&amp;"/"&amp;$C$51, "")), IFERROR(MONTH($G$2+32)&amp;"/"&amp;INDEX(Bills1[Date &lt;d&gt;], ROWS($B$1:$B16)), IFERROR(MONTH($G$2+32)&amp;"/"&amp;INDEX(DAY(Bills2[Date &lt;d&gt;]), (ROWS($B$1:$B16)-ROWS(Bills1[Date &lt;d&gt;]))), ""))), "")</f>
        <v/>
      </c>
      <c r="K17" s="130" t="str">
        <f>IF(IFERROR(INDEX(Bills1[Amount],ROWS($B$1:$B16)),IFERROR(INDEX(Bills2[Amount],(ROWS($B$1:$B16)-ROWS(Bills1[Amount]))),))&gt;0,-IFERROR(INDEX(Bills1[Amount],ROWS($B$1:$B16)),IFERROR(INDEX(Bills2[Amount],(ROWS($B$1:$B16)-ROWS(Bills1[Amount]))),)), "")</f>
        <v/>
      </c>
      <c r="M17" s="129" t="str">
        <f ca="1">IF(ISNUMBER(bills_curr_plus4[[#This Row],[bills]]), IF(OR(MONTH($J$2)=12, YEAR($J$2)=YEAR(TODAY())+1), IFERROR(MONTH($J$2+32)&amp;"/"&amp;INDEX(Bills1[Date &lt;d&gt;], ROWS($B$1:$B16))&amp;"/"&amp;$C$51, IFERROR(MONTH($J$2+32)&amp;"/"&amp;INDEX(DAY(Bills2[Date &lt;d&gt;]), (ROWS($B$1:$B16)-ROWS(Bills1[Date &lt;d&gt;])))&amp;"/"&amp;$C$51, "")), IFERROR(MONTH($J$2+32)&amp;"/"&amp;INDEX(Bills1[Date &lt;d&gt;], ROWS($B$1:$B16)), IFERROR(MONTH($J$2+32)&amp;"/"&amp;INDEX(DAY(Bills2[Date &lt;d&gt;]), (ROWS($B$1:$B16)-ROWS(Bills1[Date &lt;d&gt;]))), ""))), "")</f>
        <v/>
      </c>
      <c r="N17" s="130" t="str">
        <f>IF(IFERROR(INDEX(Bills1[Amount],ROWS($B$1:$B16)),IFERROR(INDEX(Bills2[Amount],(ROWS($B$1:$B16)-ROWS(Bills1[Amount]))),))&gt;0,-IFERROR(INDEX(Bills1[Amount],ROWS($B$1:$B16)),IFERROR(INDEX(Bills2[Amount],(ROWS($B$1:$B16)-ROWS(Bills1[Amount]))),)), "")</f>
        <v/>
      </c>
      <c r="P17" s="129" t="str">
        <f ca="1">IF(ISNUMBER(bills_curr_plus5[[#This Row],[bills]]), IF(OR(MONTH($M$2)=12, YEAR($M$2)=YEAR(TODAY())+1), IFERROR(MONTH($M$2+32)&amp;"/"&amp;INDEX(Bills1[Date &lt;d&gt;], ROWS($B$1:$B16))&amp;"/"&amp;$C$51, IFERROR(MONTH($M$2+32)&amp;"/"&amp;INDEX(DAY(Bills2[Date &lt;d&gt;]), (ROWS($B$1:$B16)-ROWS(Bills1[Date &lt;d&gt;])))&amp;"/"&amp;$C$51, "")), IFERROR(MONTH($M$2+32)&amp;"/"&amp;INDEX(Bills1[Date &lt;d&gt;], ROWS($B$1:$B16)), IFERROR(MONTH($M$2+32)&amp;"/"&amp;INDEX(DAY(Bills2[Date &lt;d&gt;]), (ROWS($B$1:$B16)-ROWS(Bills1[Date &lt;d&gt;]))), ""))), "")</f>
        <v/>
      </c>
      <c r="Q17" s="130" t="str">
        <f>IF(IFERROR(INDEX(Bills1[Amount],ROWS($B$1:$B16)),IFERROR(INDEX(Bills2[Amount],(ROWS($B$1:$B16)-ROWS(Bills1[Amount]))),))&gt;0,-IFERROR(INDEX(Bills1[Amount],ROWS($B$1:$B16)),IFERROR(INDEX(Bills2[Amount],(ROWS($B$1:$B16)-ROWS(Bills1[Amount]))),)), "")</f>
        <v/>
      </c>
      <c r="R17" s="130"/>
      <c r="S17" s="129" t="str">
        <f ca="1">IF(ISNUMBER(bills_curr_plus6[[#This Row],[bills]]),
IF(OR(MONTH($P$2)=12, YEAR($P$2)=YEAR(TODAY())+1),
IFERROR(MONTH($P$2+32)&amp;"/"&amp;INDEX(Bills1[Date &lt;d&gt;], ROWS($B$1:$B16))&amp;"/"&amp;$C$51,
IFERROR(MONTH($P$2+32)&amp;"/"&amp;INDEX(DAY(Bills2[Date &lt;d&gt;]), (ROWS($B$1:$B16)-ROWS(Bills1[Date &lt;d&gt;])))&amp;"/"&amp;$C$51, "")),
IFERROR(MONTH($P$2+32)&amp;"/"&amp;INDEX(Bills1[Date &lt;d&gt;], ROWS($B$1:$B16)),
IFERROR(MONTH($P$2+32)&amp;"/"&amp;INDEX(DAY(Bills2[Date &lt;d&gt;]), (ROWS($B$1:$B16)-ROWS(Bills1[Date &lt;d&gt;]))), ""))), "")</f>
        <v/>
      </c>
      <c r="T17" s="130" t="str">
        <f>IF(IFERROR(INDEX(Bills1[Amount],ROWS($B$1:$B16)),
IFERROR(INDEX(Bills2[Amount],(ROWS($B$1:$B16)-ROWS(Bills1[Amount]))),))&gt;0,
-IFERROR(INDEX(Bills1[Amount],ROWS($B$1:$B16)),
IFERROR(INDEX(Bills2[Amount],(ROWS($B$1:$B16)-ROWS(Bills1[Amount]))),)), "")</f>
        <v/>
      </c>
      <c r="V17" s="129">
        <v>43785</v>
      </c>
      <c r="W17" s="1">
        <f>DAY(income_future[[#This Row],[dates]])</f>
        <v>16</v>
      </c>
      <c r="X17" s="130">
        <f ca="1">SUMIF(income_curr[mod( )], MOD(V17, 14), income_curr[income])</f>
        <v>1000</v>
      </c>
      <c r="Z17" s="132">
        <f ca="1">IF(TEXT(Table10[[#This Row],[dates]], "ddd")="Mon", 999999999, "")</f>
        <v>999999999</v>
      </c>
      <c r="AA17" s="132" t="str">
        <f ca="1">IF(TODAY()=Table10[[#This Row],[dates]], TEXT(DATE(2019, MONTH(Table10[[#This Row],[dates]]), 1), "mmm"), IFERROR(IF(MONTH(Table10[[#This Row],[dates]])&lt;&gt;MONTH(AC16), TEXT(DATE(2019, MONTH(Table10[[#This Row],[dates]]), 1), "mmm"), ""), ""))</f>
        <v/>
      </c>
      <c r="AB17" s="133">
        <f ca="1">DAY('Data Preparation'!$AC17)</f>
        <v>25</v>
      </c>
      <c r="AC17" s="134">
        <f t="shared" ca="1" si="0"/>
        <v>43794</v>
      </c>
      <c r="AD1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 s="136">
        <f ca="1">IFERROR(
IF(MONTH(Table10[[#This Row],[dates]])&lt;&gt;MONTH($AC16), Table10[[#This Row],[delta $]]+AE16-SUM(Bills3[Amount]), N("deducts other bills at the end of each month")+
IF(Table10[[#This Row],[delta $]]&lt;&gt;0, Table10[[#This Row],[delta $]]+AE16,
AE16)),
"")</f>
        <v>2788</v>
      </c>
      <c r="AF17" s="136">
        <f ca="1">Table10[[#This Row],[sum per date]]-IF(MONTH(Table10[[#This Row],[dates]])=MONTH(TODAY()),
SUMIF(Bills3[Paid?], "&lt;&gt;Y", Bills3[Amount]), SUM(Bills3[Amount]))</f>
        <v>2668</v>
      </c>
      <c r="AG17" s="136" t="e">
        <f ca="1">IF(AND(
Table10[[#This Row],[fluctuation]]=MIN(INDEX(Table10[fluctuation], MATCH(TODAY(),Table10[dates], 0)):INDEX(Table10[fluctuation], MATCH(end_date,Table10[dates], 0))),
OR(ISNA(INDEX($AF$2:AF16, MATCH(Table10[[#This Row],[fluctuation]], $AF$2:AF16, 0))), ROW(AG17)=2)),
Table10[[#This Row],[fluctuation]],
NA())</f>
        <v>#N/A</v>
      </c>
      <c r="AI17" s="141"/>
      <c r="AJ17" s="141"/>
      <c r="AK17" s="141"/>
      <c r="AL17" s="141"/>
    </row>
    <row r="18" spans="1:38" x14ac:dyDescent="0.25">
      <c r="A18" s="129" t="str">
        <f ca="1">IF(ISNUMBER(bills_curr_mo[[#This Row],[bills]]), IFERROR(MONTH(TODAY())&amp;"/"&amp;INDEX(Bills1[Date &lt;d&gt;], ROWS(B$1:$B17)), IFERROR(MONTH(TODAY())&amp;"/"&amp;INDEX(DAY(Bills2[Date &lt;d&gt;]), (ROWS(B$1:$B17)-ROWS(Bills1[Date &lt;d&gt;]))), "")), "")</f>
        <v/>
      </c>
      <c r="B18" s="130" t="str">
        <f>IF(IFERROR(INDEX(Bills1[Amount],ROWS($B$1:$B17)),IFERROR(INDEX(Bills2[Amount],(ROWS($B$1:$B17)-ROWS(Bills1[Amount]))),))&gt;0,-IFERROR(INDEX(Bills1[Amount],ROWS($B$1:$B17)),IFERROR(INDEX(Bills2[Amount],(ROWS($B$1:$B17)-ROWS(Bills1[Amount]))),)), "")</f>
        <v/>
      </c>
      <c r="D18" s="129" t="str">
        <f ca="1">IF(ISNUMBER(bills_curr_plus1[[#This Row],[bills]]), IF(OR(MONTH($A$2)=12, YEAR($A$2)=YEAR(TODAY())+1), IFERROR(MONTH($A$2+32)&amp;"/"&amp;INDEX(Bills1[Date &lt;d&gt;], ROWS($B$1:$B17))&amp;"/"&amp;$C$51, IFERROR(MONTH($A$2+32)&amp;"/"&amp;INDEX(DAY(Bills2[Date &lt;d&gt;]), (ROWS($B$1:$B17)-ROWS(Bills1[Date &lt;d&gt;])))&amp;"/"&amp;$C$51, "")), IFERROR(MONTH($A$2+32)&amp;"/"&amp;INDEX(Bills1[Date &lt;d&gt;], ROWS($B$1:$B17)), IFERROR(MONTH($A$2+32)&amp;"/"&amp;INDEX(DAY(Bills2[Date &lt;d&gt;]), (ROWS($B$1:$B17)-ROWS(Bills1[Date &lt;d&gt;]))), ""))), "")</f>
        <v/>
      </c>
      <c r="E18" s="130" t="str">
        <f>IF(IFERROR(INDEX(Bills1[Amount],ROWS($B$1:$B17)),IFERROR(INDEX(Bills2[Amount],(ROWS($B$1:$B17)-ROWS(Bills1[Amount]))),))&gt;0,-IFERROR(INDEX(Bills1[Amount],ROWS($B$1:$B17)),IFERROR(INDEX(Bills2[Amount],(ROWS($B$1:$B17)-ROWS(Bills1[Amount]))),)), "")</f>
        <v/>
      </c>
      <c r="G18" s="129" t="str">
        <f ca="1">IF(ISNUMBER(bills_curr_plus2[[#This Row],[bills]]), IF(OR(MONTH($D$2)=12, YEAR($D$2)=YEAR(TODAY())+1), IFERROR(MONTH($D$2+32)&amp;"/"&amp;INDEX(Bills1[Date &lt;d&gt;], ROWS($B$1:$B17))&amp;"/"&amp;$C$51, IFERROR(MONTH($D$2+32)&amp;"/"&amp;INDEX(DAY(Bills2[Date &lt;d&gt;]), (ROWS($B$1:$B17)-ROWS(Bills1[Date &lt;d&gt;])))&amp;"/"&amp;$C$51, "")), IFERROR(MONTH($D$2+32)&amp;"/"&amp;INDEX(Bills1[Date &lt;d&gt;], ROWS($B$1:$B17)), IFERROR(MONTH($D$2+32)&amp;"/"&amp;INDEX(DAY(Bills2[Date &lt;d&gt;]), (ROWS($B$1:$B17)-ROWS(Bills1[Date &lt;d&gt;]))), ""))), "")</f>
        <v/>
      </c>
      <c r="H18" s="130" t="str">
        <f>IF(IFERROR(INDEX(Bills1[Amount],ROWS($B$1:$B17)),IFERROR(INDEX(Bills2[Amount],(ROWS($B$1:$B17)-ROWS(Bills1[Amount]))),))&gt;0,-IFERROR(INDEX(Bills1[Amount],ROWS($B$1:$B17)),IFERROR(INDEX(Bills2[Amount],(ROWS($B$1:$B17)-ROWS(Bills1[Amount]))),)), "")</f>
        <v/>
      </c>
      <c r="J18" s="129" t="str">
        <f ca="1">IF(ISNUMBER(bills_curr_plus3[[#This Row],[bills]]), IF(OR(MONTH($G$2)=12, YEAR($G$2)=YEAR(TODAY())+1), IFERROR(MONTH($G$2+32)&amp;"/"&amp;INDEX(Bills1[Date &lt;d&gt;], ROWS($B$1:$B17))&amp;"/"&amp;$C$51, IFERROR(MONTH($G$2+32)&amp;"/"&amp;INDEX(DAY(Bills2[Date &lt;d&gt;]), (ROWS($B$1:$B17)-ROWS(Bills1[Date &lt;d&gt;])))&amp;"/"&amp;$C$51, "")), IFERROR(MONTH($G$2+32)&amp;"/"&amp;INDEX(Bills1[Date &lt;d&gt;], ROWS($B$1:$B17)), IFERROR(MONTH($G$2+32)&amp;"/"&amp;INDEX(DAY(Bills2[Date &lt;d&gt;]), (ROWS($B$1:$B17)-ROWS(Bills1[Date &lt;d&gt;]))), ""))), "")</f>
        <v/>
      </c>
      <c r="K18" s="130" t="str">
        <f>IF(IFERROR(INDEX(Bills1[Amount],ROWS($B$1:$B17)),IFERROR(INDEX(Bills2[Amount],(ROWS($B$1:$B17)-ROWS(Bills1[Amount]))),))&gt;0,-IFERROR(INDEX(Bills1[Amount],ROWS($B$1:$B17)),IFERROR(INDEX(Bills2[Amount],(ROWS($B$1:$B17)-ROWS(Bills1[Amount]))),)), "")</f>
        <v/>
      </c>
      <c r="M18" s="129" t="str">
        <f ca="1">IF(ISNUMBER(bills_curr_plus4[[#This Row],[bills]]), IF(OR(MONTH($J$2)=12, YEAR($J$2)=YEAR(TODAY())+1), IFERROR(MONTH($J$2+32)&amp;"/"&amp;INDEX(Bills1[Date &lt;d&gt;], ROWS($B$1:$B17))&amp;"/"&amp;$C$51, IFERROR(MONTH($J$2+32)&amp;"/"&amp;INDEX(DAY(Bills2[Date &lt;d&gt;]), (ROWS($B$1:$B17)-ROWS(Bills1[Date &lt;d&gt;])))&amp;"/"&amp;$C$51, "")), IFERROR(MONTH($J$2+32)&amp;"/"&amp;INDEX(Bills1[Date &lt;d&gt;], ROWS($B$1:$B17)), IFERROR(MONTH($J$2+32)&amp;"/"&amp;INDEX(DAY(Bills2[Date &lt;d&gt;]), (ROWS($B$1:$B17)-ROWS(Bills1[Date &lt;d&gt;]))), ""))), "")</f>
        <v/>
      </c>
      <c r="N18" s="130" t="str">
        <f>IF(IFERROR(INDEX(Bills1[Amount],ROWS($B$1:$B17)),IFERROR(INDEX(Bills2[Amount],(ROWS($B$1:$B17)-ROWS(Bills1[Amount]))),))&gt;0,-IFERROR(INDEX(Bills1[Amount],ROWS($B$1:$B17)),IFERROR(INDEX(Bills2[Amount],(ROWS($B$1:$B17)-ROWS(Bills1[Amount]))),)), "")</f>
        <v/>
      </c>
      <c r="P18" s="129" t="str">
        <f ca="1">IF(ISNUMBER(bills_curr_plus5[[#This Row],[bills]]), IF(OR(MONTH($M$2)=12, YEAR($M$2)=YEAR(TODAY())+1), IFERROR(MONTH($M$2+32)&amp;"/"&amp;INDEX(Bills1[Date &lt;d&gt;], ROWS($B$1:$B17))&amp;"/"&amp;$C$51, IFERROR(MONTH($M$2+32)&amp;"/"&amp;INDEX(DAY(Bills2[Date &lt;d&gt;]), (ROWS($B$1:$B17)-ROWS(Bills1[Date &lt;d&gt;])))&amp;"/"&amp;$C$51, "")), IFERROR(MONTH($M$2+32)&amp;"/"&amp;INDEX(Bills1[Date &lt;d&gt;], ROWS($B$1:$B17)), IFERROR(MONTH($M$2+32)&amp;"/"&amp;INDEX(DAY(Bills2[Date &lt;d&gt;]), (ROWS($B$1:$B17)-ROWS(Bills1[Date &lt;d&gt;]))), ""))), "")</f>
        <v/>
      </c>
      <c r="Q18" s="130" t="str">
        <f>IF(IFERROR(INDEX(Bills1[Amount],ROWS($B$1:$B17)),IFERROR(INDEX(Bills2[Amount],(ROWS($B$1:$B17)-ROWS(Bills1[Amount]))),))&gt;0,-IFERROR(INDEX(Bills1[Amount],ROWS($B$1:$B17)),IFERROR(INDEX(Bills2[Amount],(ROWS($B$1:$B17)-ROWS(Bills1[Amount]))),)), "")</f>
        <v/>
      </c>
      <c r="R18" s="130"/>
      <c r="S18" s="129" t="str">
        <f ca="1">IF(ISNUMBER(bills_curr_plus6[[#This Row],[bills]]),
IF(OR(MONTH($P$2)=12, YEAR($P$2)=YEAR(TODAY())+1),
IFERROR(MONTH($P$2+32)&amp;"/"&amp;INDEX(Bills1[Date &lt;d&gt;], ROWS($B$1:$B17))&amp;"/"&amp;$C$51,
IFERROR(MONTH($P$2+32)&amp;"/"&amp;INDEX(DAY(Bills2[Date &lt;d&gt;]), (ROWS($B$1:$B17)-ROWS(Bills1[Date &lt;d&gt;])))&amp;"/"&amp;$C$51, "")),
IFERROR(MONTH($P$2+32)&amp;"/"&amp;INDEX(Bills1[Date &lt;d&gt;], ROWS($B$1:$B17)),
IFERROR(MONTH($P$2+32)&amp;"/"&amp;INDEX(DAY(Bills2[Date &lt;d&gt;]), (ROWS($B$1:$B17)-ROWS(Bills1[Date &lt;d&gt;]))), ""))), "")</f>
        <v/>
      </c>
      <c r="T18" s="130" t="str">
        <f>IF(IFERROR(INDEX(Bills1[Amount],ROWS($B$1:$B17)),
IFERROR(INDEX(Bills2[Amount],(ROWS($B$1:$B17)-ROWS(Bills1[Amount]))),))&gt;0,
-IFERROR(INDEX(Bills1[Amount],ROWS($B$1:$B17)),
IFERROR(INDEX(Bills2[Amount],(ROWS($B$1:$B17)-ROWS(Bills1[Amount]))),)), "")</f>
        <v/>
      </c>
      <c r="V18" s="129">
        <v>43786</v>
      </c>
      <c r="W18" s="1">
        <f>DAY(income_future[[#This Row],[dates]])</f>
        <v>17</v>
      </c>
      <c r="X18" s="130">
        <f ca="1">SUMIF(income_curr[mod( )], MOD(V18, 14), income_curr[income])</f>
        <v>0</v>
      </c>
      <c r="Z18" s="132" t="str">
        <f ca="1">IF(TEXT(Table10[[#This Row],[dates]], "ddd")="Mon", 999999999, "")</f>
        <v/>
      </c>
      <c r="AA18" s="132" t="str">
        <f ca="1">IF(TODAY()=Table10[[#This Row],[dates]], TEXT(DATE(2019, MONTH(Table10[[#This Row],[dates]]), 1), "mmm"), IFERROR(IF(MONTH(Table10[[#This Row],[dates]])&lt;&gt;MONTH(AC17), TEXT(DATE(2019, MONTH(Table10[[#This Row],[dates]]), 1), "mmm"), ""), ""))</f>
        <v/>
      </c>
      <c r="AB18" s="133">
        <f ca="1">DAY('Data Preparation'!$AC18)</f>
        <v>26</v>
      </c>
      <c r="AC18" s="134">
        <f t="shared" ca="1" si="0"/>
        <v>43795</v>
      </c>
      <c r="AD1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 s="136">
        <f ca="1">IFERROR(
IF(MONTH(Table10[[#This Row],[dates]])&lt;&gt;MONTH($AC17), Table10[[#This Row],[delta $]]+AE17-SUM(Bills3[Amount]), N("deducts other bills at the end of each month")+
IF(Table10[[#This Row],[delta $]]&lt;&gt;0, Table10[[#This Row],[delta $]]+AE17,
AE17)),
"")</f>
        <v>2788</v>
      </c>
      <c r="AF18" s="136">
        <f ca="1">Table10[[#This Row],[sum per date]]-IF(MONTH(Table10[[#This Row],[dates]])=MONTH(TODAY()),
SUMIF(Bills3[Paid?], "&lt;&gt;Y", Bills3[Amount]), SUM(Bills3[Amount]))</f>
        <v>2668</v>
      </c>
      <c r="AG18" s="136" t="e">
        <f ca="1">IF(AND(
Table10[[#This Row],[fluctuation]]=MIN(INDEX(Table10[fluctuation], MATCH(TODAY(),Table10[dates], 0)):INDEX(Table10[fluctuation], MATCH(end_date,Table10[dates], 0))),
OR(ISNA(INDEX($AF$2:AF17, MATCH(Table10[[#This Row],[fluctuation]], $AF$2:AF17, 0))), ROW(AG18)=2)),
Table10[[#This Row],[fluctuation]],
NA())</f>
        <v>#N/A</v>
      </c>
      <c r="AI18" s="141"/>
      <c r="AL18" s="142"/>
    </row>
    <row r="19" spans="1:38" x14ac:dyDescent="0.25">
      <c r="A19" s="129" t="str">
        <f ca="1">IF(ISNUMBER(bills_curr_mo[[#This Row],[bills]]), IFERROR(MONTH(TODAY())&amp;"/"&amp;INDEX(Bills1[Date &lt;d&gt;], ROWS(B$1:$B18)), IFERROR(MONTH(TODAY())&amp;"/"&amp;INDEX(DAY(Bills2[Date &lt;d&gt;]), (ROWS(B$1:$B18)-ROWS(Bills1[Date &lt;d&gt;]))), "")), "")</f>
        <v/>
      </c>
      <c r="B19" s="130" t="str">
        <f>IF(IFERROR(INDEX(Bills1[Amount],ROWS($B$1:$B18)),IFERROR(INDEX(Bills2[Amount],(ROWS($B$1:$B18)-ROWS(Bills1[Amount]))),))&gt;0,-IFERROR(INDEX(Bills1[Amount],ROWS($B$1:$B18)),IFERROR(INDEX(Bills2[Amount],(ROWS($B$1:$B18)-ROWS(Bills1[Amount]))),)), "")</f>
        <v/>
      </c>
      <c r="D19" s="129" t="str">
        <f ca="1">IF(ISNUMBER(bills_curr_plus1[[#This Row],[bills]]), IF(OR(MONTH($A$2)=12, YEAR($A$2)=YEAR(TODAY())+1), IFERROR(MONTH($A$2+32)&amp;"/"&amp;INDEX(Bills1[Date &lt;d&gt;], ROWS($B$1:$B18))&amp;"/"&amp;$C$51, IFERROR(MONTH($A$2+32)&amp;"/"&amp;INDEX(DAY(Bills2[Date &lt;d&gt;]), (ROWS($B$1:$B18)-ROWS(Bills1[Date &lt;d&gt;])))&amp;"/"&amp;$C$51, "")), IFERROR(MONTH($A$2+32)&amp;"/"&amp;INDEX(Bills1[Date &lt;d&gt;], ROWS($B$1:$B18)), IFERROR(MONTH($A$2+32)&amp;"/"&amp;INDEX(DAY(Bills2[Date &lt;d&gt;]), (ROWS($B$1:$B18)-ROWS(Bills1[Date &lt;d&gt;]))), ""))), "")</f>
        <v/>
      </c>
      <c r="E19" s="130" t="str">
        <f>IF(IFERROR(INDEX(Bills1[Amount],ROWS($B$1:$B18)),IFERROR(INDEX(Bills2[Amount],(ROWS($B$1:$B18)-ROWS(Bills1[Amount]))),))&gt;0,-IFERROR(INDEX(Bills1[Amount],ROWS($B$1:$B18)),IFERROR(INDEX(Bills2[Amount],(ROWS($B$1:$B18)-ROWS(Bills1[Amount]))),)), "")</f>
        <v/>
      </c>
      <c r="G19" s="129" t="str">
        <f ca="1">IF(ISNUMBER(bills_curr_plus2[[#This Row],[bills]]), IF(OR(MONTH($D$2)=12, YEAR($D$2)=YEAR(TODAY())+1), IFERROR(MONTH($D$2+32)&amp;"/"&amp;INDEX(Bills1[Date &lt;d&gt;], ROWS($B$1:$B18))&amp;"/"&amp;$C$51, IFERROR(MONTH($D$2+32)&amp;"/"&amp;INDEX(DAY(Bills2[Date &lt;d&gt;]), (ROWS($B$1:$B18)-ROWS(Bills1[Date &lt;d&gt;])))&amp;"/"&amp;$C$51, "")), IFERROR(MONTH($D$2+32)&amp;"/"&amp;INDEX(Bills1[Date &lt;d&gt;], ROWS($B$1:$B18)), IFERROR(MONTH($D$2+32)&amp;"/"&amp;INDEX(DAY(Bills2[Date &lt;d&gt;]), (ROWS($B$1:$B18)-ROWS(Bills1[Date &lt;d&gt;]))), ""))), "")</f>
        <v/>
      </c>
      <c r="H19" s="130" t="str">
        <f>IF(IFERROR(INDEX(Bills1[Amount],ROWS($B$1:$B18)),IFERROR(INDEX(Bills2[Amount],(ROWS($B$1:$B18)-ROWS(Bills1[Amount]))),))&gt;0,-IFERROR(INDEX(Bills1[Amount],ROWS($B$1:$B18)),IFERROR(INDEX(Bills2[Amount],(ROWS($B$1:$B18)-ROWS(Bills1[Amount]))),)), "")</f>
        <v/>
      </c>
      <c r="J19" s="129" t="str">
        <f ca="1">IF(ISNUMBER(bills_curr_plus3[[#This Row],[bills]]), IF(OR(MONTH($G$2)=12, YEAR($G$2)=YEAR(TODAY())+1), IFERROR(MONTH($G$2+32)&amp;"/"&amp;INDEX(Bills1[Date &lt;d&gt;], ROWS($B$1:$B18))&amp;"/"&amp;$C$51, IFERROR(MONTH($G$2+32)&amp;"/"&amp;INDEX(DAY(Bills2[Date &lt;d&gt;]), (ROWS($B$1:$B18)-ROWS(Bills1[Date &lt;d&gt;])))&amp;"/"&amp;$C$51, "")), IFERROR(MONTH($G$2+32)&amp;"/"&amp;INDEX(Bills1[Date &lt;d&gt;], ROWS($B$1:$B18)), IFERROR(MONTH($G$2+32)&amp;"/"&amp;INDEX(DAY(Bills2[Date &lt;d&gt;]), (ROWS($B$1:$B18)-ROWS(Bills1[Date &lt;d&gt;]))), ""))), "")</f>
        <v/>
      </c>
      <c r="K19" s="130" t="str">
        <f>IF(IFERROR(INDEX(Bills1[Amount],ROWS($B$1:$B18)),IFERROR(INDEX(Bills2[Amount],(ROWS($B$1:$B18)-ROWS(Bills1[Amount]))),))&gt;0,-IFERROR(INDEX(Bills1[Amount],ROWS($B$1:$B18)),IFERROR(INDEX(Bills2[Amount],(ROWS($B$1:$B18)-ROWS(Bills1[Amount]))),)), "")</f>
        <v/>
      </c>
      <c r="M19" s="129" t="str">
        <f ca="1">IF(ISNUMBER(bills_curr_plus4[[#This Row],[bills]]), IF(OR(MONTH($J$2)=12, YEAR($J$2)=YEAR(TODAY())+1), IFERROR(MONTH($J$2+32)&amp;"/"&amp;INDEX(Bills1[Date &lt;d&gt;], ROWS($B$1:$B18))&amp;"/"&amp;$C$51, IFERROR(MONTH($J$2+32)&amp;"/"&amp;INDEX(DAY(Bills2[Date &lt;d&gt;]), (ROWS($B$1:$B18)-ROWS(Bills1[Date &lt;d&gt;])))&amp;"/"&amp;$C$51, "")), IFERROR(MONTH($J$2+32)&amp;"/"&amp;INDEX(Bills1[Date &lt;d&gt;], ROWS($B$1:$B18)), IFERROR(MONTH($J$2+32)&amp;"/"&amp;INDEX(DAY(Bills2[Date &lt;d&gt;]), (ROWS($B$1:$B18)-ROWS(Bills1[Date &lt;d&gt;]))), ""))), "")</f>
        <v/>
      </c>
      <c r="N19" s="130" t="str">
        <f>IF(IFERROR(INDEX(Bills1[Amount],ROWS($B$1:$B18)),IFERROR(INDEX(Bills2[Amount],(ROWS($B$1:$B18)-ROWS(Bills1[Amount]))),))&gt;0,-IFERROR(INDEX(Bills1[Amount],ROWS($B$1:$B18)),IFERROR(INDEX(Bills2[Amount],(ROWS($B$1:$B18)-ROWS(Bills1[Amount]))),)), "")</f>
        <v/>
      </c>
      <c r="P19" s="129" t="str">
        <f ca="1">IF(ISNUMBER(bills_curr_plus5[[#This Row],[bills]]), IF(OR(MONTH($M$2)=12, YEAR($M$2)=YEAR(TODAY())+1), IFERROR(MONTH($M$2+32)&amp;"/"&amp;INDEX(Bills1[Date &lt;d&gt;], ROWS($B$1:$B18))&amp;"/"&amp;$C$51, IFERROR(MONTH($M$2+32)&amp;"/"&amp;INDEX(DAY(Bills2[Date &lt;d&gt;]), (ROWS($B$1:$B18)-ROWS(Bills1[Date &lt;d&gt;])))&amp;"/"&amp;$C$51, "")), IFERROR(MONTH($M$2+32)&amp;"/"&amp;INDEX(Bills1[Date &lt;d&gt;], ROWS($B$1:$B18)), IFERROR(MONTH($M$2+32)&amp;"/"&amp;INDEX(DAY(Bills2[Date &lt;d&gt;]), (ROWS($B$1:$B18)-ROWS(Bills1[Date &lt;d&gt;]))), ""))), "")</f>
        <v/>
      </c>
      <c r="Q19" s="130" t="str">
        <f>IF(IFERROR(INDEX(Bills1[Amount],ROWS($B$1:$B18)),IFERROR(INDEX(Bills2[Amount],(ROWS($B$1:$B18)-ROWS(Bills1[Amount]))),))&gt;0,-IFERROR(INDEX(Bills1[Amount],ROWS($B$1:$B18)),IFERROR(INDEX(Bills2[Amount],(ROWS($B$1:$B18)-ROWS(Bills1[Amount]))),)), "")</f>
        <v/>
      </c>
      <c r="R19" s="130"/>
      <c r="S19" s="129" t="str">
        <f ca="1">IF(ISNUMBER(bills_curr_plus6[[#This Row],[bills]]),
IF(OR(MONTH($P$2)=12, YEAR($P$2)=YEAR(TODAY())+1),
IFERROR(MONTH($P$2+32)&amp;"/"&amp;INDEX(Bills1[Date &lt;d&gt;], ROWS($B$1:$B18))&amp;"/"&amp;$C$51,
IFERROR(MONTH($P$2+32)&amp;"/"&amp;INDEX(DAY(Bills2[Date &lt;d&gt;]), (ROWS($B$1:$B18)-ROWS(Bills1[Date &lt;d&gt;])))&amp;"/"&amp;$C$51, "")),
IFERROR(MONTH($P$2+32)&amp;"/"&amp;INDEX(Bills1[Date &lt;d&gt;], ROWS($B$1:$B18)),
IFERROR(MONTH($P$2+32)&amp;"/"&amp;INDEX(DAY(Bills2[Date &lt;d&gt;]), (ROWS($B$1:$B18)-ROWS(Bills1[Date &lt;d&gt;]))), ""))), "")</f>
        <v/>
      </c>
      <c r="T19" s="130" t="str">
        <f>IF(IFERROR(INDEX(Bills1[Amount],ROWS($B$1:$B18)),
IFERROR(INDEX(Bills2[Amount],(ROWS($B$1:$B18)-ROWS(Bills1[Amount]))),))&gt;0,
-IFERROR(INDEX(Bills1[Amount],ROWS($B$1:$B18)),
IFERROR(INDEX(Bills2[Amount],(ROWS($B$1:$B18)-ROWS(Bills1[Amount]))),)), "")</f>
        <v/>
      </c>
      <c r="V19" s="129">
        <v>43787</v>
      </c>
      <c r="W19" s="1">
        <f>DAY(income_future[[#This Row],[dates]])</f>
        <v>18</v>
      </c>
      <c r="X19" s="130">
        <f ca="1">SUMIF(income_curr[mod( )], MOD(V19, 14), income_curr[income])</f>
        <v>0</v>
      </c>
      <c r="Z19" s="132" t="str">
        <f ca="1">IF(TEXT(Table10[[#This Row],[dates]], "ddd")="Mon", 999999999, "")</f>
        <v/>
      </c>
      <c r="AA19" s="132" t="str">
        <f ca="1">IF(TODAY()=Table10[[#This Row],[dates]], TEXT(DATE(2019, MONTH(Table10[[#This Row],[dates]]), 1), "mmm"), IFERROR(IF(MONTH(Table10[[#This Row],[dates]])&lt;&gt;MONTH(AC18), TEXT(DATE(2019, MONTH(Table10[[#This Row],[dates]]), 1), "mmm"), ""), ""))</f>
        <v/>
      </c>
      <c r="AB19" s="133">
        <f ca="1">DAY('Data Preparation'!$AC19)</f>
        <v>27</v>
      </c>
      <c r="AC19" s="134">
        <f t="shared" ca="1" si="0"/>
        <v>43796</v>
      </c>
      <c r="AD1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9" s="136">
        <f ca="1">IFERROR(
IF(MONTH(Table10[[#This Row],[dates]])&lt;&gt;MONTH($AC18), Table10[[#This Row],[delta $]]+AE18-SUM(Bills3[Amount]), N("deducts other bills at the end of each month")+
IF(Table10[[#This Row],[delta $]]&lt;&gt;0, Table10[[#This Row],[delta $]]+AE18,
AE18)),
"")</f>
        <v>2788</v>
      </c>
      <c r="AF19" s="136">
        <f ca="1">Table10[[#This Row],[sum per date]]-IF(MONTH(Table10[[#This Row],[dates]])=MONTH(TODAY()),
SUMIF(Bills3[Paid?], "&lt;&gt;Y", Bills3[Amount]), SUM(Bills3[Amount]))</f>
        <v>2668</v>
      </c>
      <c r="AG19" s="136" t="e">
        <f ca="1">IF(AND(
Table10[[#This Row],[fluctuation]]=MIN(INDEX(Table10[fluctuation], MATCH(TODAY(),Table10[dates], 0)):INDEX(Table10[fluctuation], MATCH(end_date,Table10[dates], 0))),
OR(ISNA(INDEX($AF$2:AF18, MATCH(Table10[[#This Row],[fluctuation]], $AF$2:AF18, 0))), ROW(AG19)=2)),
Table10[[#This Row],[fluctuation]],
NA())</f>
        <v>#N/A</v>
      </c>
    </row>
    <row r="20" spans="1:38" x14ac:dyDescent="0.25">
      <c r="A20" s="129" t="str">
        <f ca="1">IF(ISNUMBER(bills_curr_mo[[#This Row],[bills]]), IFERROR(MONTH(TODAY())&amp;"/"&amp;INDEX(Bills1[Date &lt;d&gt;], ROWS(B$1:$B19)), IFERROR(MONTH(TODAY())&amp;"/"&amp;INDEX(DAY(Bills2[Date &lt;d&gt;]), (ROWS(B$1:$B19)-ROWS(Bills1[Date &lt;d&gt;]))), "")), "")</f>
        <v/>
      </c>
      <c r="B20" s="130" t="str">
        <f>IF(IFERROR(INDEX(Bills1[Amount],ROWS($B$1:$B19)),IFERROR(INDEX(Bills2[Amount],(ROWS($B$1:$B19)-ROWS(Bills1[Amount]))),))&gt;0,-IFERROR(INDEX(Bills1[Amount],ROWS($B$1:$B19)),IFERROR(INDEX(Bills2[Amount],(ROWS($B$1:$B19)-ROWS(Bills1[Amount]))),)), "")</f>
        <v/>
      </c>
      <c r="D20" s="129" t="str">
        <f ca="1">IF(ISNUMBER(bills_curr_plus1[[#This Row],[bills]]), IF(OR(MONTH($A$2)=12, YEAR($A$2)=YEAR(TODAY())+1), IFERROR(MONTH($A$2+32)&amp;"/"&amp;INDEX(Bills1[Date &lt;d&gt;], ROWS($B$1:$B19))&amp;"/"&amp;$C$51, IFERROR(MONTH($A$2+32)&amp;"/"&amp;INDEX(DAY(Bills2[Date &lt;d&gt;]), (ROWS($B$1:$B19)-ROWS(Bills1[Date &lt;d&gt;])))&amp;"/"&amp;$C$51, "")), IFERROR(MONTH($A$2+32)&amp;"/"&amp;INDEX(Bills1[Date &lt;d&gt;], ROWS($B$1:$B19)), IFERROR(MONTH($A$2+32)&amp;"/"&amp;INDEX(DAY(Bills2[Date &lt;d&gt;]), (ROWS($B$1:$B19)-ROWS(Bills1[Date &lt;d&gt;]))), ""))), "")</f>
        <v/>
      </c>
      <c r="E20" s="130" t="str">
        <f>IF(IFERROR(INDEX(Bills1[Amount],ROWS($B$1:$B19)),IFERROR(INDEX(Bills2[Amount],(ROWS($B$1:$B19)-ROWS(Bills1[Amount]))),))&gt;0,-IFERROR(INDEX(Bills1[Amount],ROWS($B$1:$B19)),IFERROR(INDEX(Bills2[Amount],(ROWS($B$1:$B19)-ROWS(Bills1[Amount]))),)), "")</f>
        <v/>
      </c>
      <c r="G20" s="129" t="str">
        <f ca="1">IF(ISNUMBER(bills_curr_plus2[[#This Row],[bills]]), IF(OR(MONTH($D$2)=12, YEAR($D$2)=YEAR(TODAY())+1), IFERROR(MONTH($D$2+32)&amp;"/"&amp;INDEX(Bills1[Date &lt;d&gt;], ROWS($B$1:$B19))&amp;"/"&amp;$C$51, IFERROR(MONTH($D$2+32)&amp;"/"&amp;INDEX(DAY(Bills2[Date &lt;d&gt;]), (ROWS($B$1:$B19)-ROWS(Bills1[Date &lt;d&gt;])))&amp;"/"&amp;$C$51, "")), IFERROR(MONTH($D$2+32)&amp;"/"&amp;INDEX(Bills1[Date &lt;d&gt;], ROWS($B$1:$B19)), IFERROR(MONTH($D$2+32)&amp;"/"&amp;INDEX(DAY(Bills2[Date &lt;d&gt;]), (ROWS($B$1:$B19)-ROWS(Bills1[Date &lt;d&gt;]))), ""))), "")</f>
        <v/>
      </c>
      <c r="H20" s="130" t="str">
        <f>IF(IFERROR(INDEX(Bills1[Amount],ROWS($B$1:$B19)),IFERROR(INDEX(Bills2[Amount],(ROWS($B$1:$B19)-ROWS(Bills1[Amount]))),))&gt;0,-IFERROR(INDEX(Bills1[Amount],ROWS($B$1:$B19)),IFERROR(INDEX(Bills2[Amount],(ROWS($B$1:$B19)-ROWS(Bills1[Amount]))),)), "")</f>
        <v/>
      </c>
      <c r="J20" s="129" t="str">
        <f ca="1">IF(ISNUMBER(bills_curr_plus3[[#This Row],[bills]]), IF(OR(MONTH($G$2)=12, YEAR($G$2)=YEAR(TODAY())+1), IFERROR(MONTH($G$2+32)&amp;"/"&amp;INDEX(Bills1[Date &lt;d&gt;], ROWS($B$1:$B19))&amp;"/"&amp;$C$51, IFERROR(MONTH($G$2+32)&amp;"/"&amp;INDEX(DAY(Bills2[Date &lt;d&gt;]), (ROWS($B$1:$B19)-ROWS(Bills1[Date &lt;d&gt;])))&amp;"/"&amp;$C$51, "")), IFERROR(MONTH($G$2+32)&amp;"/"&amp;INDEX(Bills1[Date &lt;d&gt;], ROWS($B$1:$B19)), IFERROR(MONTH($G$2+32)&amp;"/"&amp;INDEX(DAY(Bills2[Date &lt;d&gt;]), (ROWS($B$1:$B19)-ROWS(Bills1[Date &lt;d&gt;]))), ""))), "")</f>
        <v/>
      </c>
      <c r="K20" s="130" t="str">
        <f>IF(IFERROR(INDEX(Bills1[Amount],ROWS($B$1:$B19)),IFERROR(INDEX(Bills2[Amount],(ROWS($B$1:$B19)-ROWS(Bills1[Amount]))),))&gt;0,-IFERROR(INDEX(Bills1[Amount],ROWS($B$1:$B19)),IFERROR(INDEX(Bills2[Amount],(ROWS($B$1:$B19)-ROWS(Bills1[Amount]))),)), "")</f>
        <v/>
      </c>
      <c r="M20" s="129" t="str">
        <f ca="1">IF(ISNUMBER(bills_curr_plus4[[#This Row],[bills]]), IF(OR(MONTH($J$2)=12, YEAR($J$2)=YEAR(TODAY())+1), IFERROR(MONTH($J$2+32)&amp;"/"&amp;INDEX(Bills1[Date &lt;d&gt;], ROWS($B$1:$B19))&amp;"/"&amp;$C$51, IFERROR(MONTH($J$2+32)&amp;"/"&amp;INDEX(DAY(Bills2[Date &lt;d&gt;]), (ROWS($B$1:$B19)-ROWS(Bills1[Date &lt;d&gt;])))&amp;"/"&amp;$C$51, "")), IFERROR(MONTH($J$2+32)&amp;"/"&amp;INDEX(Bills1[Date &lt;d&gt;], ROWS($B$1:$B19)), IFERROR(MONTH($J$2+32)&amp;"/"&amp;INDEX(DAY(Bills2[Date &lt;d&gt;]), (ROWS($B$1:$B19)-ROWS(Bills1[Date &lt;d&gt;]))), ""))), "")</f>
        <v/>
      </c>
      <c r="N20" s="130" t="str">
        <f>IF(IFERROR(INDEX(Bills1[Amount],ROWS($B$1:$B19)),IFERROR(INDEX(Bills2[Amount],(ROWS($B$1:$B19)-ROWS(Bills1[Amount]))),))&gt;0,-IFERROR(INDEX(Bills1[Amount],ROWS($B$1:$B19)),IFERROR(INDEX(Bills2[Amount],(ROWS($B$1:$B19)-ROWS(Bills1[Amount]))),)), "")</f>
        <v/>
      </c>
      <c r="P20" s="129" t="str">
        <f ca="1">IF(ISNUMBER(bills_curr_plus5[[#This Row],[bills]]), IF(OR(MONTH($M$2)=12, YEAR($M$2)=YEAR(TODAY())+1), IFERROR(MONTH($M$2+32)&amp;"/"&amp;INDEX(Bills1[Date &lt;d&gt;], ROWS($B$1:$B19))&amp;"/"&amp;$C$51, IFERROR(MONTH($M$2+32)&amp;"/"&amp;INDEX(DAY(Bills2[Date &lt;d&gt;]), (ROWS($B$1:$B19)-ROWS(Bills1[Date &lt;d&gt;])))&amp;"/"&amp;$C$51, "")), IFERROR(MONTH($M$2+32)&amp;"/"&amp;INDEX(Bills1[Date &lt;d&gt;], ROWS($B$1:$B19)), IFERROR(MONTH($M$2+32)&amp;"/"&amp;INDEX(DAY(Bills2[Date &lt;d&gt;]), (ROWS($B$1:$B19)-ROWS(Bills1[Date &lt;d&gt;]))), ""))), "")</f>
        <v/>
      </c>
      <c r="Q20" s="130" t="str">
        <f>IF(IFERROR(INDEX(Bills1[Amount],ROWS($B$1:$B19)),IFERROR(INDEX(Bills2[Amount],(ROWS($B$1:$B19)-ROWS(Bills1[Amount]))),))&gt;0,-IFERROR(INDEX(Bills1[Amount],ROWS($B$1:$B19)),IFERROR(INDEX(Bills2[Amount],(ROWS($B$1:$B19)-ROWS(Bills1[Amount]))),)), "")</f>
        <v/>
      </c>
      <c r="R20" s="130"/>
      <c r="S20" s="129" t="str">
        <f ca="1">IF(ISNUMBER(bills_curr_plus6[[#This Row],[bills]]),
IF(OR(MONTH($P$2)=12, YEAR($P$2)=YEAR(TODAY())+1),
IFERROR(MONTH($P$2+32)&amp;"/"&amp;INDEX(Bills1[Date &lt;d&gt;], ROWS($B$1:$B19))&amp;"/"&amp;$C$51,
IFERROR(MONTH($P$2+32)&amp;"/"&amp;INDEX(DAY(Bills2[Date &lt;d&gt;]), (ROWS($B$1:$B19)-ROWS(Bills1[Date &lt;d&gt;])))&amp;"/"&amp;$C$51, "")),
IFERROR(MONTH($P$2+32)&amp;"/"&amp;INDEX(Bills1[Date &lt;d&gt;], ROWS($B$1:$B19)),
IFERROR(MONTH($P$2+32)&amp;"/"&amp;INDEX(DAY(Bills2[Date &lt;d&gt;]), (ROWS($B$1:$B19)-ROWS(Bills1[Date &lt;d&gt;]))), ""))), "")</f>
        <v/>
      </c>
      <c r="T20" s="130" t="str">
        <f>IF(IFERROR(INDEX(Bills1[Amount],ROWS($B$1:$B19)),
IFERROR(INDEX(Bills2[Amount],(ROWS($B$1:$B19)-ROWS(Bills1[Amount]))),))&gt;0,
-IFERROR(INDEX(Bills1[Amount],ROWS($B$1:$B19)),
IFERROR(INDEX(Bills2[Amount],(ROWS($B$1:$B19)-ROWS(Bills1[Amount]))),)), "")</f>
        <v/>
      </c>
      <c r="V20" s="129">
        <v>43788</v>
      </c>
      <c r="W20" s="1">
        <f>DAY(income_future[[#This Row],[dates]])</f>
        <v>19</v>
      </c>
      <c r="X20" s="130">
        <f ca="1">SUMIF(income_curr[mod( )], MOD(V20, 14), income_curr[income])</f>
        <v>0</v>
      </c>
      <c r="Z20" s="132" t="str">
        <f ca="1">IF(TEXT(Table10[[#This Row],[dates]], "ddd")="Mon", 999999999, "")</f>
        <v/>
      </c>
      <c r="AA20" s="132" t="str">
        <f ca="1">IF(TODAY()=Table10[[#This Row],[dates]], TEXT(DATE(2019, MONTH(Table10[[#This Row],[dates]]), 1), "mmm"), IFERROR(IF(MONTH(Table10[[#This Row],[dates]])&lt;&gt;MONTH(AC19), TEXT(DATE(2019, MONTH(Table10[[#This Row],[dates]]), 1), "mmm"), ""), ""))</f>
        <v/>
      </c>
      <c r="AB20" s="133">
        <f ca="1">DAY('Data Preparation'!$AC20)</f>
        <v>28</v>
      </c>
      <c r="AC20" s="134">
        <f t="shared" ca="1" si="0"/>
        <v>43797</v>
      </c>
      <c r="AD2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0" s="136">
        <f ca="1">IFERROR(
IF(MONTH(Table10[[#This Row],[dates]])&lt;&gt;MONTH($AC19), Table10[[#This Row],[delta $]]+AE19-SUM(Bills3[Amount]), N("deducts other bills at the end of each month")+
IF(Table10[[#This Row],[delta $]]&lt;&gt;0, Table10[[#This Row],[delta $]]+AE19,
AE19)),
"")</f>
        <v>2788</v>
      </c>
      <c r="AF20" s="136">
        <f ca="1">Table10[[#This Row],[sum per date]]-IF(MONTH(Table10[[#This Row],[dates]])=MONTH(TODAY()),
SUMIF(Bills3[Paid?], "&lt;&gt;Y", Bills3[Amount]), SUM(Bills3[Amount]))</f>
        <v>2668</v>
      </c>
      <c r="AG20" s="136" t="e">
        <f ca="1">IF(AND(
Table10[[#This Row],[fluctuation]]=MIN(INDEX(Table10[fluctuation], MATCH(TODAY(),Table10[dates], 0)):INDEX(Table10[fluctuation], MATCH(end_date,Table10[dates], 0))),
OR(ISNA(INDEX($AF$2:AF19, MATCH(Table10[[#This Row],[fluctuation]], $AF$2:AF19, 0))), ROW(AG20)=2)),
Table10[[#This Row],[fluctuation]],
NA())</f>
        <v>#N/A</v>
      </c>
    </row>
    <row r="21" spans="1:38" x14ac:dyDescent="0.25">
      <c r="A21" s="129" t="str">
        <f ca="1">IF(ISNUMBER(bills_curr_mo[[#This Row],[bills]]), IFERROR(MONTH(TODAY())&amp;"/"&amp;INDEX(Bills1[Date &lt;d&gt;], ROWS(B$1:$B20)), IFERROR(MONTH(TODAY())&amp;"/"&amp;INDEX(DAY(Bills2[Date &lt;d&gt;]), (ROWS(B$1:$B20)-ROWS(Bills1[Date &lt;d&gt;]))), "")), "")</f>
        <v/>
      </c>
      <c r="B21" s="130" t="str">
        <f>IF(IFERROR(INDEX(Bills1[Amount],ROWS($B$1:$B20)),IFERROR(INDEX(Bills2[Amount],(ROWS($B$1:$B20)-ROWS(Bills1[Amount]))),))&gt;0,-IFERROR(INDEX(Bills1[Amount],ROWS($B$1:$B20)),IFERROR(INDEX(Bills2[Amount],(ROWS($B$1:$B20)-ROWS(Bills1[Amount]))),)), "")</f>
        <v/>
      </c>
      <c r="D21" s="129" t="str">
        <f ca="1">IF(ISNUMBER(bills_curr_plus1[[#This Row],[bills]]), IF(OR(MONTH($A$2)=12, YEAR($A$2)=YEAR(TODAY())+1), IFERROR(MONTH($A$2+32)&amp;"/"&amp;INDEX(Bills1[Date &lt;d&gt;], ROWS($B$1:$B20))&amp;"/"&amp;$C$51, IFERROR(MONTH($A$2+32)&amp;"/"&amp;INDEX(DAY(Bills2[Date &lt;d&gt;]), (ROWS($B$1:$B20)-ROWS(Bills1[Date &lt;d&gt;])))&amp;"/"&amp;$C$51, "")), IFERROR(MONTH($A$2+32)&amp;"/"&amp;INDEX(Bills1[Date &lt;d&gt;], ROWS($B$1:$B20)), IFERROR(MONTH($A$2+32)&amp;"/"&amp;INDEX(DAY(Bills2[Date &lt;d&gt;]), (ROWS($B$1:$B20)-ROWS(Bills1[Date &lt;d&gt;]))), ""))), "")</f>
        <v/>
      </c>
      <c r="E21" s="130" t="str">
        <f>IF(IFERROR(INDEX(Bills1[Amount],ROWS($B$1:$B20)),IFERROR(INDEX(Bills2[Amount],(ROWS($B$1:$B20)-ROWS(Bills1[Amount]))),))&gt;0,-IFERROR(INDEX(Bills1[Amount],ROWS($B$1:$B20)),IFERROR(INDEX(Bills2[Amount],(ROWS($B$1:$B20)-ROWS(Bills1[Amount]))),)), "")</f>
        <v/>
      </c>
      <c r="G21" s="129" t="str">
        <f ca="1">IF(ISNUMBER(bills_curr_plus2[[#This Row],[bills]]), IF(OR(MONTH($D$2)=12, YEAR($D$2)=YEAR(TODAY())+1), IFERROR(MONTH($D$2+32)&amp;"/"&amp;INDEX(Bills1[Date &lt;d&gt;], ROWS($B$1:$B20))&amp;"/"&amp;$C$51, IFERROR(MONTH($D$2+32)&amp;"/"&amp;INDEX(DAY(Bills2[Date &lt;d&gt;]), (ROWS($B$1:$B20)-ROWS(Bills1[Date &lt;d&gt;])))&amp;"/"&amp;$C$51, "")), IFERROR(MONTH($D$2+32)&amp;"/"&amp;INDEX(Bills1[Date &lt;d&gt;], ROWS($B$1:$B20)), IFERROR(MONTH($D$2+32)&amp;"/"&amp;INDEX(DAY(Bills2[Date &lt;d&gt;]), (ROWS($B$1:$B20)-ROWS(Bills1[Date &lt;d&gt;]))), ""))), "")</f>
        <v/>
      </c>
      <c r="H21" s="130" t="str">
        <f>IF(IFERROR(INDEX(Bills1[Amount],ROWS($B$1:$B20)),IFERROR(INDEX(Bills2[Amount],(ROWS($B$1:$B20)-ROWS(Bills1[Amount]))),))&gt;0,-IFERROR(INDEX(Bills1[Amount],ROWS($B$1:$B20)),IFERROR(INDEX(Bills2[Amount],(ROWS($B$1:$B20)-ROWS(Bills1[Amount]))),)), "")</f>
        <v/>
      </c>
      <c r="J21" s="129" t="str">
        <f ca="1">IF(ISNUMBER(bills_curr_plus3[[#This Row],[bills]]), IF(OR(MONTH($G$2)=12, YEAR($G$2)=YEAR(TODAY())+1), IFERROR(MONTH($G$2+32)&amp;"/"&amp;INDEX(Bills1[Date &lt;d&gt;], ROWS($B$1:$B20))&amp;"/"&amp;$C$51, IFERROR(MONTH($G$2+32)&amp;"/"&amp;INDEX(DAY(Bills2[Date &lt;d&gt;]), (ROWS($B$1:$B20)-ROWS(Bills1[Date &lt;d&gt;])))&amp;"/"&amp;$C$51, "")), IFERROR(MONTH($G$2+32)&amp;"/"&amp;INDEX(Bills1[Date &lt;d&gt;], ROWS($B$1:$B20)), IFERROR(MONTH($G$2+32)&amp;"/"&amp;INDEX(DAY(Bills2[Date &lt;d&gt;]), (ROWS($B$1:$B20)-ROWS(Bills1[Date &lt;d&gt;]))), ""))), "")</f>
        <v/>
      </c>
      <c r="K21" s="130" t="str">
        <f>IF(IFERROR(INDEX(Bills1[Amount],ROWS($B$1:$B20)),IFERROR(INDEX(Bills2[Amount],(ROWS($B$1:$B20)-ROWS(Bills1[Amount]))),))&gt;0,-IFERROR(INDEX(Bills1[Amount],ROWS($B$1:$B20)),IFERROR(INDEX(Bills2[Amount],(ROWS($B$1:$B20)-ROWS(Bills1[Amount]))),)), "")</f>
        <v/>
      </c>
      <c r="M21" s="129" t="str">
        <f ca="1">IF(ISNUMBER(bills_curr_plus4[[#This Row],[bills]]), IF(OR(MONTH($J$2)=12, YEAR($J$2)=YEAR(TODAY())+1), IFERROR(MONTH($J$2+32)&amp;"/"&amp;INDEX(Bills1[Date &lt;d&gt;], ROWS($B$1:$B20))&amp;"/"&amp;$C$51, IFERROR(MONTH($J$2+32)&amp;"/"&amp;INDEX(DAY(Bills2[Date &lt;d&gt;]), (ROWS($B$1:$B20)-ROWS(Bills1[Date &lt;d&gt;])))&amp;"/"&amp;$C$51, "")), IFERROR(MONTH($J$2+32)&amp;"/"&amp;INDEX(Bills1[Date &lt;d&gt;], ROWS($B$1:$B20)), IFERROR(MONTH($J$2+32)&amp;"/"&amp;INDEX(DAY(Bills2[Date &lt;d&gt;]), (ROWS($B$1:$B20)-ROWS(Bills1[Date &lt;d&gt;]))), ""))), "")</f>
        <v/>
      </c>
      <c r="N21" s="130" t="str">
        <f>IF(IFERROR(INDEX(Bills1[Amount],ROWS($B$1:$B20)),IFERROR(INDEX(Bills2[Amount],(ROWS($B$1:$B20)-ROWS(Bills1[Amount]))),))&gt;0,-IFERROR(INDEX(Bills1[Amount],ROWS($B$1:$B20)),IFERROR(INDEX(Bills2[Amount],(ROWS($B$1:$B20)-ROWS(Bills1[Amount]))),)), "")</f>
        <v/>
      </c>
      <c r="P21" s="129" t="str">
        <f ca="1">IF(ISNUMBER(bills_curr_plus5[[#This Row],[bills]]), IF(OR(MONTH($M$2)=12, YEAR($M$2)=YEAR(TODAY())+1), IFERROR(MONTH($M$2+32)&amp;"/"&amp;INDEX(Bills1[Date &lt;d&gt;], ROWS($B$1:$B20))&amp;"/"&amp;$C$51, IFERROR(MONTH($M$2+32)&amp;"/"&amp;INDEX(DAY(Bills2[Date &lt;d&gt;]), (ROWS($B$1:$B20)-ROWS(Bills1[Date &lt;d&gt;])))&amp;"/"&amp;$C$51, "")), IFERROR(MONTH($M$2+32)&amp;"/"&amp;INDEX(Bills1[Date &lt;d&gt;], ROWS($B$1:$B20)), IFERROR(MONTH($M$2+32)&amp;"/"&amp;INDEX(DAY(Bills2[Date &lt;d&gt;]), (ROWS($B$1:$B20)-ROWS(Bills1[Date &lt;d&gt;]))), ""))), "")</f>
        <v/>
      </c>
      <c r="Q21" s="130" t="str">
        <f>IF(IFERROR(INDEX(Bills1[Amount],ROWS($B$1:$B20)),IFERROR(INDEX(Bills2[Amount],(ROWS($B$1:$B20)-ROWS(Bills1[Amount]))),))&gt;0,-IFERROR(INDEX(Bills1[Amount],ROWS($B$1:$B20)),IFERROR(INDEX(Bills2[Amount],(ROWS($B$1:$B20)-ROWS(Bills1[Amount]))),)), "")</f>
        <v/>
      </c>
      <c r="R21" s="130"/>
      <c r="S21" s="129" t="str">
        <f ca="1">IF(ISNUMBER(bills_curr_plus6[[#This Row],[bills]]),
IF(OR(MONTH($P$2)=12, YEAR($P$2)=YEAR(TODAY())+1),
IFERROR(MONTH($P$2+32)&amp;"/"&amp;INDEX(Bills1[Date &lt;d&gt;], ROWS($B$1:$B20))&amp;"/"&amp;$C$51,
IFERROR(MONTH($P$2+32)&amp;"/"&amp;INDEX(DAY(Bills2[Date &lt;d&gt;]), (ROWS($B$1:$B20)-ROWS(Bills1[Date &lt;d&gt;])))&amp;"/"&amp;$C$51, "")),
IFERROR(MONTH($P$2+32)&amp;"/"&amp;INDEX(Bills1[Date &lt;d&gt;], ROWS($B$1:$B20)),
IFERROR(MONTH($P$2+32)&amp;"/"&amp;INDEX(DAY(Bills2[Date &lt;d&gt;]), (ROWS($B$1:$B20)-ROWS(Bills1[Date &lt;d&gt;]))), ""))), "")</f>
        <v/>
      </c>
      <c r="T21" s="130" t="str">
        <f>IF(IFERROR(INDEX(Bills1[Amount],ROWS($B$1:$B20)),
IFERROR(INDEX(Bills2[Amount],(ROWS($B$1:$B20)-ROWS(Bills1[Amount]))),))&gt;0,
-IFERROR(INDEX(Bills1[Amount],ROWS($B$1:$B20)),
IFERROR(INDEX(Bills2[Amount],(ROWS($B$1:$B20)-ROWS(Bills1[Amount]))),)), "")</f>
        <v/>
      </c>
      <c r="V21" s="129">
        <v>43789</v>
      </c>
      <c r="W21" s="1">
        <f>DAY(income_future[[#This Row],[dates]])</f>
        <v>20</v>
      </c>
      <c r="X21" s="130">
        <f ca="1">SUMIF(income_curr[mod( )], MOD(V21, 14), income_curr[income])</f>
        <v>0</v>
      </c>
      <c r="Z21" s="132" t="str">
        <f ca="1">IF(TEXT(Table10[[#This Row],[dates]], "ddd")="Mon", 999999999, "")</f>
        <v/>
      </c>
      <c r="AA21" s="132" t="str">
        <f ca="1">IF(TODAY()=Table10[[#This Row],[dates]], TEXT(DATE(2019, MONTH(Table10[[#This Row],[dates]]), 1), "mmm"), IFERROR(IF(MONTH(Table10[[#This Row],[dates]])&lt;&gt;MONTH(AC20), TEXT(DATE(2019, MONTH(Table10[[#This Row],[dates]]), 1), "mmm"), ""), ""))</f>
        <v/>
      </c>
      <c r="AB21" s="133">
        <f ca="1">DAY('Data Preparation'!$AC21)</f>
        <v>29</v>
      </c>
      <c r="AC21" s="134">
        <f t="shared" ca="1" si="0"/>
        <v>43798</v>
      </c>
      <c r="AD2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1" s="136">
        <f ca="1">IFERROR(
IF(MONTH(Table10[[#This Row],[dates]])&lt;&gt;MONTH($AC20), Table10[[#This Row],[delta $]]+AE20-SUM(Bills3[Amount]), N("deducts other bills at the end of each month")+
IF(Table10[[#This Row],[delta $]]&lt;&gt;0, Table10[[#This Row],[delta $]]+AE20,
AE20)),
"")</f>
        <v>2788</v>
      </c>
      <c r="AF21" s="136">
        <f ca="1">Table10[[#This Row],[sum per date]]-IF(MONTH(Table10[[#This Row],[dates]])=MONTH(TODAY()),
SUMIF(Bills3[Paid?], "&lt;&gt;Y", Bills3[Amount]), SUM(Bills3[Amount]))</f>
        <v>2668</v>
      </c>
      <c r="AG21" s="136" t="e">
        <f ca="1">IF(AND(
Table10[[#This Row],[fluctuation]]=MIN(INDEX(Table10[fluctuation], MATCH(TODAY(),Table10[dates], 0)):INDEX(Table10[fluctuation], MATCH(end_date,Table10[dates], 0))),
OR(ISNA(INDEX($AF$2:AF20, MATCH(Table10[[#This Row],[fluctuation]], $AF$2:AF20, 0))), ROW(AG21)=2)),
Table10[[#This Row],[fluctuation]],
NA())</f>
        <v>#N/A</v>
      </c>
    </row>
    <row r="22" spans="1:38" x14ac:dyDescent="0.25">
      <c r="A22" s="129" t="str">
        <f ca="1">IF(ISNUMBER(bills_curr_mo[[#This Row],[bills]]), IFERROR(MONTH(TODAY())&amp;"/"&amp;INDEX(Bills1[Date &lt;d&gt;], ROWS(B$1:$B21)), IFERROR(MONTH(TODAY())&amp;"/"&amp;INDEX(DAY(Bills2[Date &lt;d&gt;]), (ROWS(B$1:$B21)-ROWS(Bills1[Date &lt;d&gt;]))), "")), "")</f>
        <v/>
      </c>
      <c r="B22" s="130" t="str">
        <f>IF(IFERROR(INDEX(Bills1[Amount],ROWS($B$1:$B21)),IFERROR(INDEX(Bills2[Amount],(ROWS($B$1:$B21)-ROWS(Bills1[Amount]))),))&gt;0,-IFERROR(INDEX(Bills1[Amount],ROWS($B$1:$B21)),IFERROR(INDEX(Bills2[Amount],(ROWS($B$1:$B21)-ROWS(Bills1[Amount]))),)), "")</f>
        <v/>
      </c>
      <c r="D22" s="129" t="str">
        <f ca="1">IF(ISNUMBER(bills_curr_plus1[[#This Row],[bills]]), IF(OR(MONTH($A$2)=12, YEAR($A$2)=YEAR(TODAY())+1), IFERROR(MONTH($A$2+32)&amp;"/"&amp;INDEX(Bills1[Date &lt;d&gt;], ROWS($B$1:$B21))&amp;"/"&amp;$C$51, IFERROR(MONTH($A$2+32)&amp;"/"&amp;INDEX(DAY(Bills2[Date &lt;d&gt;]), (ROWS($B$1:$B21)-ROWS(Bills1[Date &lt;d&gt;])))&amp;"/"&amp;$C$51, "")), IFERROR(MONTH($A$2+32)&amp;"/"&amp;INDEX(Bills1[Date &lt;d&gt;], ROWS($B$1:$B21)), IFERROR(MONTH($A$2+32)&amp;"/"&amp;INDEX(DAY(Bills2[Date &lt;d&gt;]), (ROWS($B$1:$B21)-ROWS(Bills1[Date &lt;d&gt;]))), ""))), "")</f>
        <v/>
      </c>
      <c r="E22" s="130" t="str">
        <f>IF(IFERROR(INDEX(Bills1[Amount],ROWS($B$1:$B21)),IFERROR(INDEX(Bills2[Amount],(ROWS($B$1:$B21)-ROWS(Bills1[Amount]))),))&gt;0,-IFERROR(INDEX(Bills1[Amount],ROWS($B$1:$B21)),IFERROR(INDEX(Bills2[Amount],(ROWS($B$1:$B21)-ROWS(Bills1[Amount]))),)), "")</f>
        <v/>
      </c>
      <c r="G22" s="129" t="str">
        <f ca="1">IF(ISNUMBER(bills_curr_plus2[[#This Row],[bills]]), IF(OR(MONTH($D$2)=12, YEAR($D$2)=YEAR(TODAY())+1), IFERROR(MONTH($D$2+32)&amp;"/"&amp;INDEX(Bills1[Date &lt;d&gt;], ROWS($B$1:$B21))&amp;"/"&amp;$C$51, IFERROR(MONTH($D$2+32)&amp;"/"&amp;INDEX(DAY(Bills2[Date &lt;d&gt;]), (ROWS($B$1:$B21)-ROWS(Bills1[Date &lt;d&gt;])))&amp;"/"&amp;$C$51, "")), IFERROR(MONTH($D$2+32)&amp;"/"&amp;INDEX(Bills1[Date &lt;d&gt;], ROWS($B$1:$B21)), IFERROR(MONTH($D$2+32)&amp;"/"&amp;INDEX(DAY(Bills2[Date &lt;d&gt;]), (ROWS($B$1:$B21)-ROWS(Bills1[Date &lt;d&gt;]))), ""))), "")</f>
        <v/>
      </c>
      <c r="H22" s="130" t="str">
        <f>IF(IFERROR(INDEX(Bills1[Amount],ROWS($B$1:$B21)),IFERROR(INDEX(Bills2[Amount],(ROWS($B$1:$B21)-ROWS(Bills1[Amount]))),))&gt;0,-IFERROR(INDEX(Bills1[Amount],ROWS($B$1:$B21)),IFERROR(INDEX(Bills2[Amount],(ROWS($B$1:$B21)-ROWS(Bills1[Amount]))),)), "")</f>
        <v/>
      </c>
      <c r="J22" s="129" t="str">
        <f ca="1">IF(ISNUMBER(bills_curr_plus3[[#This Row],[bills]]), IF(OR(MONTH($G$2)=12, YEAR($G$2)=YEAR(TODAY())+1), IFERROR(MONTH($G$2+32)&amp;"/"&amp;INDEX(Bills1[Date &lt;d&gt;], ROWS($B$1:$B21))&amp;"/"&amp;$C$51, IFERROR(MONTH($G$2+32)&amp;"/"&amp;INDEX(DAY(Bills2[Date &lt;d&gt;]), (ROWS($B$1:$B21)-ROWS(Bills1[Date &lt;d&gt;])))&amp;"/"&amp;$C$51, "")), IFERROR(MONTH($G$2+32)&amp;"/"&amp;INDEX(Bills1[Date &lt;d&gt;], ROWS($B$1:$B21)), IFERROR(MONTH($G$2+32)&amp;"/"&amp;INDEX(DAY(Bills2[Date &lt;d&gt;]), (ROWS($B$1:$B21)-ROWS(Bills1[Date &lt;d&gt;]))), ""))), "")</f>
        <v/>
      </c>
      <c r="K22" s="130" t="str">
        <f>IF(IFERROR(INDEX(Bills1[Amount],ROWS($B$1:$B21)),IFERROR(INDEX(Bills2[Amount],(ROWS($B$1:$B21)-ROWS(Bills1[Amount]))),))&gt;0,-IFERROR(INDEX(Bills1[Amount],ROWS($B$1:$B21)),IFERROR(INDEX(Bills2[Amount],(ROWS($B$1:$B21)-ROWS(Bills1[Amount]))),)), "")</f>
        <v/>
      </c>
      <c r="M22" s="129" t="str">
        <f ca="1">IF(ISNUMBER(bills_curr_plus4[[#This Row],[bills]]), IF(OR(MONTH($J$2)=12, YEAR($J$2)=YEAR(TODAY())+1), IFERROR(MONTH($J$2+32)&amp;"/"&amp;INDEX(Bills1[Date &lt;d&gt;], ROWS($B$1:$B21))&amp;"/"&amp;$C$51, IFERROR(MONTH($J$2+32)&amp;"/"&amp;INDEX(DAY(Bills2[Date &lt;d&gt;]), (ROWS($B$1:$B21)-ROWS(Bills1[Date &lt;d&gt;])))&amp;"/"&amp;$C$51, "")), IFERROR(MONTH($J$2+32)&amp;"/"&amp;INDEX(Bills1[Date &lt;d&gt;], ROWS($B$1:$B21)), IFERROR(MONTH($J$2+32)&amp;"/"&amp;INDEX(DAY(Bills2[Date &lt;d&gt;]), (ROWS($B$1:$B21)-ROWS(Bills1[Date &lt;d&gt;]))), ""))), "")</f>
        <v/>
      </c>
      <c r="N22" s="130" t="str">
        <f>IF(IFERROR(INDEX(Bills1[Amount],ROWS($B$1:$B21)),IFERROR(INDEX(Bills2[Amount],(ROWS($B$1:$B21)-ROWS(Bills1[Amount]))),))&gt;0,-IFERROR(INDEX(Bills1[Amount],ROWS($B$1:$B21)),IFERROR(INDEX(Bills2[Amount],(ROWS($B$1:$B21)-ROWS(Bills1[Amount]))),)), "")</f>
        <v/>
      </c>
      <c r="P22" s="129" t="str">
        <f ca="1">IF(ISNUMBER(bills_curr_plus5[[#This Row],[bills]]), IF(OR(MONTH($M$2)=12, YEAR($M$2)=YEAR(TODAY())+1), IFERROR(MONTH($M$2+32)&amp;"/"&amp;INDEX(Bills1[Date &lt;d&gt;], ROWS($B$1:$B21))&amp;"/"&amp;$C$51, IFERROR(MONTH($M$2+32)&amp;"/"&amp;INDEX(DAY(Bills2[Date &lt;d&gt;]), (ROWS($B$1:$B21)-ROWS(Bills1[Date &lt;d&gt;])))&amp;"/"&amp;$C$51, "")), IFERROR(MONTH($M$2+32)&amp;"/"&amp;INDEX(Bills1[Date &lt;d&gt;], ROWS($B$1:$B21)), IFERROR(MONTH($M$2+32)&amp;"/"&amp;INDEX(DAY(Bills2[Date &lt;d&gt;]), (ROWS($B$1:$B21)-ROWS(Bills1[Date &lt;d&gt;]))), ""))), "")</f>
        <v/>
      </c>
      <c r="Q22" s="130" t="str">
        <f>IF(IFERROR(INDEX(Bills1[Amount],ROWS($B$1:$B21)),IFERROR(INDEX(Bills2[Amount],(ROWS($B$1:$B21)-ROWS(Bills1[Amount]))),))&gt;0,-IFERROR(INDEX(Bills1[Amount],ROWS($B$1:$B21)),IFERROR(INDEX(Bills2[Amount],(ROWS($B$1:$B21)-ROWS(Bills1[Amount]))),)), "")</f>
        <v/>
      </c>
      <c r="R22" s="130"/>
      <c r="S22" s="129" t="str">
        <f ca="1">IF(ISNUMBER(bills_curr_plus6[[#This Row],[bills]]),
IF(OR(MONTH($P$2)=12, YEAR($P$2)=YEAR(TODAY())+1),
IFERROR(MONTH($P$2+32)&amp;"/"&amp;INDEX(Bills1[Date &lt;d&gt;], ROWS($B$1:$B21))&amp;"/"&amp;$C$51,
IFERROR(MONTH($P$2+32)&amp;"/"&amp;INDEX(DAY(Bills2[Date &lt;d&gt;]), (ROWS($B$1:$B21)-ROWS(Bills1[Date &lt;d&gt;])))&amp;"/"&amp;$C$51, "")),
IFERROR(MONTH($P$2+32)&amp;"/"&amp;INDEX(Bills1[Date &lt;d&gt;], ROWS($B$1:$B21)),
IFERROR(MONTH($P$2+32)&amp;"/"&amp;INDEX(DAY(Bills2[Date &lt;d&gt;]), (ROWS($B$1:$B21)-ROWS(Bills1[Date &lt;d&gt;]))), ""))), "")</f>
        <v/>
      </c>
      <c r="T22" s="130" t="str">
        <f>IF(IFERROR(INDEX(Bills1[Amount],ROWS($B$1:$B21)),
IFERROR(INDEX(Bills2[Amount],(ROWS($B$1:$B21)-ROWS(Bills1[Amount]))),))&gt;0,
-IFERROR(INDEX(Bills1[Amount],ROWS($B$1:$B21)),
IFERROR(INDEX(Bills2[Amount],(ROWS($B$1:$B21)-ROWS(Bills1[Amount]))),)), "")</f>
        <v/>
      </c>
      <c r="V22" s="129">
        <v>43790</v>
      </c>
      <c r="W22" s="1">
        <f>DAY(income_future[[#This Row],[dates]])</f>
        <v>21</v>
      </c>
      <c r="X22" s="130">
        <f ca="1">SUMIF(income_curr[mod( )], MOD(V22, 14), income_curr[income])</f>
        <v>0</v>
      </c>
      <c r="Z22" s="132" t="str">
        <f ca="1">IF(TEXT(Table10[[#This Row],[dates]], "ddd")="Mon", 999999999, "")</f>
        <v/>
      </c>
      <c r="AA22" s="132" t="str">
        <f ca="1">IF(TODAY()=Table10[[#This Row],[dates]], TEXT(DATE(2019, MONTH(Table10[[#This Row],[dates]]), 1), "mmm"), IFERROR(IF(MONTH(Table10[[#This Row],[dates]])&lt;&gt;MONTH(AC21), TEXT(DATE(2019, MONTH(Table10[[#This Row],[dates]]), 1), "mmm"), ""), ""))</f>
        <v/>
      </c>
      <c r="AB22" s="133">
        <f ca="1">DAY('Data Preparation'!$AC22)</f>
        <v>30</v>
      </c>
      <c r="AC22" s="134">
        <f t="shared" ca="1" si="0"/>
        <v>43799</v>
      </c>
      <c r="AD2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22" s="136">
        <f ca="1">IFERROR(
IF(MONTH(Table10[[#This Row],[dates]])&lt;&gt;MONTH($AC21), Table10[[#This Row],[delta $]]+AE21-SUM(Bills3[Amount]), N("deducts other bills at the end of each month")+
IF(Table10[[#This Row],[delta $]]&lt;&gt;0, Table10[[#This Row],[delta $]]+AE21,
AE21)),
"")</f>
        <v>3788</v>
      </c>
      <c r="AF22" s="136">
        <f ca="1">Table10[[#This Row],[sum per date]]-IF(MONTH(Table10[[#This Row],[dates]])=MONTH(TODAY()),
SUMIF(Bills3[Paid?], "&lt;&gt;Y", Bills3[Amount]), SUM(Bills3[Amount]))</f>
        <v>3668</v>
      </c>
      <c r="AG22" s="136" t="e">
        <f ca="1">IF(AND(
Table10[[#This Row],[fluctuation]]=MIN(INDEX(Table10[fluctuation], MATCH(TODAY(),Table10[dates], 0)):INDEX(Table10[fluctuation], MATCH(end_date,Table10[dates], 0))),
OR(ISNA(INDEX($AF$2:AF21, MATCH(Table10[[#This Row],[fluctuation]], $AF$2:AF21, 0))), ROW(AG22)=2)),
Table10[[#This Row],[fluctuation]],
NA())</f>
        <v>#N/A</v>
      </c>
    </row>
    <row r="23" spans="1:38" x14ac:dyDescent="0.25">
      <c r="A23" s="129" t="str">
        <f ca="1">IF(ISNUMBER(bills_curr_mo[[#This Row],[bills]]), IFERROR(MONTH(TODAY())&amp;"/"&amp;INDEX(Bills1[Date &lt;d&gt;], ROWS(B$1:$B22)), IFERROR(MONTH(TODAY())&amp;"/"&amp;INDEX(DAY(Bills2[Date &lt;d&gt;]), (ROWS(B$1:$B22)-ROWS(Bills1[Date &lt;d&gt;]))), "")), "")</f>
        <v/>
      </c>
      <c r="B23" s="130" t="str">
        <f>IF(IFERROR(INDEX(Bills1[Amount],ROWS($B$1:$B22)),IFERROR(INDEX(Bills2[Amount],(ROWS($B$1:$B22)-ROWS(Bills1[Amount]))),))&gt;0,-IFERROR(INDEX(Bills1[Amount],ROWS($B$1:$B22)),IFERROR(INDEX(Bills2[Amount],(ROWS($B$1:$B22)-ROWS(Bills1[Amount]))),)), "")</f>
        <v/>
      </c>
      <c r="D23" s="129" t="str">
        <f ca="1">IF(ISNUMBER(bills_curr_plus1[[#This Row],[bills]]), IF(OR(MONTH($A$2)=12, YEAR($A$2)=YEAR(TODAY())+1), IFERROR(MONTH($A$2+32)&amp;"/"&amp;INDEX(Bills1[Date &lt;d&gt;], ROWS($B$1:$B22))&amp;"/"&amp;$C$51, IFERROR(MONTH($A$2+32)&amp;"/"&amp;INDEX(DAY(Bills2[Date &lt;d&gt;]), (ROWS($B$1:$B22)-ROWS(Bills1[Date &lt;d&gt;])))&amp;"/"&amp;$C$51, "")), IFERROR(MONTH($A$2+32)&amp;"/"&amp;INDEX(Bills1[Date &lt;d&gt;], ROWS($B$1:$B22)), IFERROR(MONTH($A$2+32)&amp;"/"&amp;INDEX(DAY(Bills2[Date &lt;d&gt;]), (ROWS($B$1:$B22)-ROWS(Bills1[Date &lt;d&gt;]))), ""))), "")</f>
        <v/>
      </c>
      <c r="E23" s="130" t="str">
        <f>IF(IFERROR(INDEX(Bills1[Amount],ROWS($B$1:$B22)),IFERROR(INDEX(Bills2[Amount],(ROWS($B$1:$B22)-ROWS(Bills1[Amount]))),))&gt;0,-IFERROR(INDEX(Bills1[Amount],ROWS($B$1:$B22)),IFERROR(INDEX(Bills2[Amount],(ROWS($B$1:$B22)-ROWS(Bills1[Amount]))),)), "")</f>
        <v/>
      </c>
      <c r="G23" s="129" t="str">
        <f ca="1">IF(ISNUMBER(bills_curr_plus2[[#This Row],[bills]]), IF(OR(MONTH($D$2)=12, YEAR($D$2)=YEAR(TODAY())+1), IFERROR(MONTH($D$2+32)&amp;"/"&amp;INDEX(Bills1[Date &lt;d&gt;], ROWS($B$1:$B22))&amp;"/"&amp;$C$51, IFERROR(MONTH($D$2+32)&amp;"/"&amp;INDEX(DAY(Bills2[Date &lt;d&gt;]), (ROWS($B$1:$B22)-ROWS(Bills1[Date &lt;d&gt;])))&amp;"/"&amp;$C$51, "")), IFERROR(MONTH($D$2+32)&amp;"/"&amp;INDEX(Bills1[Date &lt;d&gt;], ROWS($B$1:$B22)), IFERROR(MONTH($D$2+32)&amp;"/"&amp;INDEX(DAY(Bills2[Date &lt;d&gt;]), (ROWS($B$1:$B22)-ROWS(Bills1[Date &lt;d&gt;]))), ""))), "")</f>
        <v/>
      </c>
      <c r="H23" s="130" t="str">
        <f>IF(IFERROR(INDEX(Bills1[Amount],ROWS($B$1:$B22)),IFERROR(INDEX(Bills2[Amount],(ROWS($B$1:$B22)-ROWS(Bills1[Amount]))),))&gt;0,-IFERROR(INDEX(Bills1[Amount],ROWS($B$1:$B22)),IFERROR(INDEX(Bills2[Amount],(ROWS($B$1:$B22)-ROWS(Bills1[Amount]))),)), "")</f>
        <v/>
      </c>
      <c r="J23" s="129" t="str">
        <f ca="1">IF(ISNUMBER(bills_curr_plus3[[#This Row],[bills]]), IF(OR(MONTH($G$2)=12, YEAR($G$2)=YEAR(TODAY())+1), IFERROR(MONTH($G$2+32)&amp;"/"&amp;INDEX(Bills1[Date &lt;d&gt;], ROWS($B$1:$B22))&amp;"/"&amp;$C$51, IFERROR(MONTH($G$2+32)&amp;"/"&amp;INDEX(DAY(Bills2[Date &lt;d&gt;]), (ROWS($B$1:$B22)-ROWS(Bills1[Date &lt;d&gt;])))&amp;"/"&amp;$C$51, "")), IFERROR(MONTH($G$2+32)&amp;"/"&amp;INDEX(Bills1[Date &lt;d&gt;], ROWS($B$1:$B22)), IFERROR(MONTH($G$2+32)&amp;"/"&amp;INDEX(DAY(Bills2[Date &lt;d&gt;]), (ROWS($B$1:$B22)-ROWS(Bills1[Date &lt;d&gt;]))), ""))), "")</f>
        <v/>
      </c>
      <c r="K23" s="130" t="str">
        <f>IF(IFERROR(INDEX(Bills1[Amount],ROWS($B$1:$B22)),IFERROR(INDEX(Bills2[Amount],(ROWS($B$1:$B22)-ROWS(Bills1[Amount]))),))&gt;0,-IFERROR(INDEX(Bills1[Amount],ROWS($B$1:$B22)),IFERROR(INDEX(Bills2[Amount],(ROWS($B$1:$B22)-ROWS(Bills1[Amount]))),)), "")</f>
        <v/>
      </c>
      <c r="M23" s="129" t="str">
        <f ca="1">IF(ISNUMBER(bills_curr_plus4[[#This Row],[bills]]), IF(OR(MONTH($J$2)=12, YEAR($J$2)=YEAR(TODAY())+1), IFERROR(MONTH($J$2+32)&amp;"/"&amp;INDEX(Bills1[Date &lt;d&gt;], ROWS($B$1:$B22))&amp;"/"&amp;$C$51, IFERROR(MONTH($J$2+32)&amp;"/"&amp;INDEX(DAY(Bills2[Date &lt;d&gt;]), (ROWS($B$1:$B22)-ROWS(Bills1[Date &lt;d&gt;])))&amp;"/"&amp;$C$51, "")), IFERROR(MONTH($J$2+32)&amp;"/"&amp;INDEX(Bills1[Date &lt;d&gt;], ROWS($B$1:$B22)), IFERROR(MONTH($J$2+32)&amp;"/"&amp;INDEX(DAY(Bills2[Date &lt;d&gt;]), (ROWS($B$1:$B22)-ROWS(Bills1[Date &lt;d&gt;]))), ""))), "")</f>
        <v/>
      </c>
      <c r="N23" s="130" t="str">
        <f>IF(IFERROR(INDEX(Bills1[Amount],ROWS($B$1:$B22)),IFERROR(INDEX(Bills2[Amount],(ROWS($B$1:$B22)-ROWS(Bills1[Amount]))),))&gt;0,-IFERROR(INDEX(Bills1[Amount],ROWS($B$1:$B22)),IFERROR(INDEX(Bills2[Amount],(ROWS($B$1:$B22)-ROWS(Bills1[Amount]))),)), "")</f>
        <v/>
      </c>
      <c r="P23" s="129" t="str">
        <f ca="1">IF(ISNUMBER(bills_curr_plus5[[#This Row],[bills]]), IF(OR(MONTH($M$2)=12, YEAR($M$2)=YEAR(TODAY())+1), IFERROR(MONTH($M$2+32)&amp;"/"&amp;INDEX(Bills1[Date &lt;d&gt;], ROWS($B$1:$B22))&amp;"/"&amp;$C$51, IFERROR(MONTH($M$2+32)&amp;"/"&amp;INDEX(DAY(Bills2[Date &lt;d&gt;]), (ROWS($B$1:$B22)-ROWS(Bills1[Date &lt;d&gt;])))&amp;"/"&amp;$C$51, "")), IFERROR(MONTH($M$2+32)&amp;"/"&amp;INDEX(Bills1[Date &lt;d&gt;], ROWS($B$1:$B22)), IFERROR(MONTH($M$2+32)&amp;"/"&amp;INDEX(DAY(Bills2[Date &lt;d&gt;]), (ROWS($B$1:$B22)-ROWS(Bills1[Date &lt;d&gt;]))), ""))), "")</f>
        <v/>
      </c>
      <c r="Q23" s="130" t="str">
        <f>IF(IFERROR(INDEX(Bills1[Amount],ROWS($B$1:$B22)),IFERROR(INDEX(Bills2[Amount],(ROWS($B$1:$B22)-ROWS(Bills1[Amount]))),))&gt;0,-IFERROR(INDEX(Bills1[Amount],ROWS($B$1:$B22)),IFERROR(INDEX(Bills2[Amount],(ROWS($B$1:$B22)-ROWS(Bills1[Amount]))),)), "")</f>
        <v/>
      </c>
      <c r="R23" s="130"/>
      <c r="S23" s="129" t="str">
        <f ca="1">IF(ISNUMBER(bills_curr_plus6[[#This Row],[bills]]),
IF(OR(MONTH($P$2)=12, YEAR($P$2)=YEAR(TODAY())+1),
IFERROR(MONTH($P$2+32)&amp;"/"&amp;INDEX(Bills1[Date &lt;d&gt;], ROWS($B$1:$B22))&amp;"/"&amp;$C$51,
IFERROR(MONTH($P$2+32)&amp;"/"&amp;INDEX(DAY(Bills2[Date &lt;d&gt;]), (ROWS($B$1:$B22)-ROWS(Bills1[Date &lt;d&gt;])))&amp;"/"&amp;$C$51, "")),
IFERROR(MONTH($P$2+32)&amp;"/"&amp;INDEX(Bills1[Date &lt;d&gt;], ROWS($B$1:$B22)),
IFERROR(MONTH($P$2+32)&amp;"/"&amp;INDEX(DAY(Bills2[Date &lt;d&gt;]), (ROWS($B$1:$B22)-ROWS(Bills1[Date &lt;d&gt;]))), ""))), "")</f>
        <v/>
      </c>
      <c r="T23" s="130" t="str">
        <f>IF(IFERROR(INDEX(Bills1[Amount],ROWS($B$1:$B22)),
IFERROR(INDEX(Bills2[Amount],(ROWS($B$1:$B22)-ROWS(Bills1[Amount]))),))&gt;0,
-IFERROR(INDEX(Bills1[Amount],ROWS($B$1:$B22)),
IFERROR(INDEX(Bills2[Amount],(ROWS($B$1:$B22)-ROWS(Bills1[Amount]))),)), "")</f>
        <v/>
      </c>
      <c r="V23" s="129">
        <v>43791</v>
      </c>
      <c r="W23" s="1">
        <f>DAY(income_future[[#This Row],[dates]])</f>
        <v>22</v>
      </c>
      <c r="X23" s="130">
        <f ca="1">SUMIF(income_curr[mod( )], MOD(V23, 14), income_curr[income])</f>
        <v>0</v>
      </c>
      <c r="Z23" s="132" t="str">
        <f ca="1">IF(TEXT(Table10[[#This Row],[dates]], "ddd")="Mon", 999999999, "")</f>
        <v/>
      </c>
      <c r="AA23" s="132" t="str">
        <f ca="1">IF(TODAY()=Table10[[#This Row],[dates]], TEXT(DATE(2019, MONTH(Table10[[#This Row],[dates]]), 1), "mmm"), IFERROR(IF(MONTH(Table10[[#This Row],[dates]])&lt;&gt;MONTH(AC22), TEXT(DATE(2019, MONTH(Table10[[#This Row],[dates]]), 1), "mmm"), ""), ""))</f>
        <v>Dec</v>
      </c>
      <c r="AB23" s="133">
        <f ca="1">DAY('Data Preparation'!$AC23)</f>
        <v>1</v>
      </c>
      <c r="AC23" s="134">
        <f t="shared" ca="1" si="0"/>
        <v>43800</v>
      </c>
      <c r="AD2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23" s="136">
        <f ca="1">IFERROR(
IF(MONTH(Table10[[#This Row],[dates]])&lt;&gt;MONTH($AC22), Table10[[#This Row],[delta $]]+AE22-SUM(Bills3[Amount]), N("deducts other bills at the end of each month")+
IF(Table10[[#This Row],[delta $]]&lt;&gt;0, Table10[[#This Row],[delta $]]+AE22,
AE22)),
"")</f>
        <v>2568</v>
      </c>
      <c r="AF23" s="136">
        <f ca="1">Table10[[#This Row],[sum per date]]-IF(MONTH(Table10[[#This Row],[dates]])=MONTH(TODAY()),
SUMIF(Bills3[Paid?], "&lt;&gt;Y", Bills3[Amount]), SUM(Bills3[Amount]))</f>
        <v>1948</v>
      </c>
      <c r="AG23" s="136" t="e">
        <f ca="1">IF(AND(
Table10[[#This Row],[fluctuation]]=MIN(INDEX(Table10[fluctuation], MATCH(TODAY(),Table10[dates], 0)):INDEX(Table10[fluctuation], MATCH(end_date,Table10[dates], 0))),
OR(ISNA(INDEX($AF$2:AF22, MATCH(Table10[[#This Row],[fluctuation]], $AF$2:AF22, 0))), ROW(AG23)=2)),
Table10[[#This Row],[fluctuation]],
NA())</f>
        <v>#N/A</v>
      </c>
    </row>
    <row r="24" spans="1:38" x14ac:dyDescent="0.25">
      <c r="A24" s="129" t="str">
        <f ca="1">IF(ISNUMBER(bills_curr_mo[[#This Row],[bills]]), IFERROR(MONTH(TODAY())&amp;"/"&amp;INDEX(Bills1[Date &lt;d&gt;], ROWS(B$1:$B23)), IFERROR(MONTH(TODAY())&amp;"/"&amp;INDEX(DAY(Bills2[Date &lt;d&gt;]), (ROWS(B$1:$B23)-ROWS(Bills1[Date &lt;d&gt;]))), "")), "")</f>
        <v/>
      </c>
      <c r="B24" s="130" t="str">
        <f>IF(IFERROR(INDEX(Bills1[Amount],ROWS($B$1:$B23)),IFERROR(INDEX(Bills2[Amount],(ROWS($B$1:$B23)-ROWS(Bills1[Amount]))),))&gt;0,-IFERROR(INDEX(Bills1[Amount],ROWS($B$1:$B23)),IFERROR(INDEX(Bills2[Amount],(ROWS($B$1:$B23)-ROWS(Bills1[Amount]))),)), "")</f>
        <v/>
      </c>
      <c r="D24" s="129" t="str">
        <f ca="1">IF(ISNUMBER(bills_curr_plus1[[#This Row],[bills]]), IF(OR(MONTH($A$2)=12, YEAR($A$2)=YEAR(TODAY())+1), IFERROR(MONTH($A$2+32)&amp;"/"&amp;INDEX(Bills1[Date &lt;d&gt;], ROWS($B$1:$B23))&amp;"/"&amp;$C$51, IFERROR(MONTH($A$2+32)&amp;"/"&amp;INDEX(DAY(Bills2[Date &lt;d&gt;]), (ROWS($B$1:$B23)-ROWS(Bills1[Date &lt;d&gt;])))&amp;"/"&amp;$C$51, "")), IFERROR(MONTH($A$2+32)&amp;"/"&amp;INDEX(Bills1[Date &lt;d&gt;], ROWS($B$1:$B23)), IFERROR(MONTH($A$2+32)&amp;"/"&amp;INDEX(DAY(Bills2[Date &lt;d&gt;]), (ROWS($B$1:$B23)-ROWS(Bills1[Date &lt;d&gt;]))), ""))), "")</f>
        <v/>
      </c>
      <c r="E24" s="130" t="str">
        <f>IF(IFERROR(INDEX(Bills1[Amount],ROWS($B$1:$B23)),IFERROR(INDEX(Bills2[Amount],(ROWS($B$1:$B23)-ROWS(Bills1[Amount]))),))&gt;0,-IFERROR(INDEX(Bills1[Amount],ROWS($B$1:$B23)),IFERROR(INDEX(Bills2[Amount],(ROWS($B$1:$B23)-ROWS(Bills1[Amount]))),)), "")</f>
        <v/>
      </c>
      <c r="G24" s="129" t="str">
        <f ca="1">IF(ISNUMBER(bills_curr_plus2[[#This Row],[bills]]), IF(OR(MONTH($D$2)=12, YEAR($D$2)=YEAR(TODAY())+1), IFERROR(MONTH($D$2+32)&amp;"/"&amp;INDEX(Bills1[Date &lt;d&gt;], ROWS($B$1:$B23))&amp;"/"&amp;$C$51, IFERROR(MONTH($D$2+32)&amp;"/"&amp;INDEX(DAY(Bills2[Date &lt;d&gt;]), (ROWS($B$1:$B23)-ROWS(Bills1[Date &lt;d&gt;])))&amp;"/"&amp;$C$51, "")), IFERROR(MONTH($D$2+32)&amp;"/"&amp;INDEX(Bills1[Date &lt;d&gt;], ROWS($B$1:$B23)), IFERROR(MONTH($D$2+32)&amp;"/"&amp;INDEX(DAY(Bills2[Date &lt;d&gt;]), (ROWS($B$1:$B23)-ROWS(Bills1[Date &lt;d&gt;]))), ""))), "")</f>
        <v/>
      </c>
      <c r="H24" s="130" t="str">
        <f>IF(IFERROR(INDEX(Bills1[Amount],ROWS($B$1:$B23)),IFERROR(INDEX(Bills2[Amount],(ROWS($B$1:$B23)-ROWS(Bills1[Amount]))),))&gt;0,-IFERROR(INDEX(Bills1[Amount],ROWS($B$1:$B23)),IFERROR(INDEX(Bills2[Amount],(ROWS($B$1:$B23)-ROWS(Bills1[Amount]))),)), "")</f>
        <v/>
      </c>
      <c r="J24" s="129" t="str">
        <f ca="1">IF(ISNUMBER(bills_curr_plus3[[#This Row],[bills]]), IF(OR(MONTH($G$2)=12, YEAR($G$2)=YEAR(TODAY())+1), IFERROR(MONTH($G$2+32)&amp;"/"&amp;INDEX(Bills1[Date &lt;d&gt;], ROWS($B$1:$B23))&amp;"/"&amp;$C$51, IFERROR(MONTH($G$2+32)&amp;"/"&amp;INDEX(DAY(Bills2[Date &lt;d&gt;]), (ROWS($B$1:$B23)-ROWS(Bills1[Date &lt;d&gt;])))&amp;"/"&amp;$C$51, "")), IFERROR(MONTH($G$2+32)&amp;"/"&amp;INDEX(Bills1[Date &lt;d&gt;], ROWS($B$1:$B23)), IFERROR(MONTH($G$2+32)&amp;"/"&amp;INDEX(DAY(Bills2[Date &lt;d&gt;]), (ROWS($B$1:$B23)-ROWS(Bills1[Date &lt;d&gt;]))), ""))), "")</f>
        <v/>
      </c>
      <c r="K24" s="130" t="str">
        <f>IF(IFERROR(INDEX(Bills1[Amount],ROWS($B$1:$B23)),IFERROR(INDEX(Bills2[Amount],(ROWS($B$1:$B23)-ROWS(Bills1[Amount]))),))&gt;0,-IFERROR(INDEX(Bills1[Amount],ROWS($B$1:$B23)),IFERROR(INDEX(Bills2[Amount],(ROWS($B$1:$B23)-ROWS(Bills1[Amount]))),)), "")</f>
        <v/>
      </c>
      <c r="M24" s="129" t="str">
        <f ca="1">IF(ISNUMBER(bills_curr_plus4[[#This Row],[bills]]), IF(OR(MONTH($J$2)=12, YEAR($J$2)=YEAR(TODAY())+1), IFERROR(MONTH($J$2+32)&amp;"/"&amp;INDEX(Bills1[Date &lt;d&gt;], ROWS($B$1:$B23))&amp;"/"&amp;$C$51, IFERROR(MONTH($J$2+32)&amp;"/"&amp;INDEX(DAY(Bills2[Date &lt;d&gt;]), (ROWS($B$1:$B23)-ROWS(Bills1[Date &lt;d&gt;])))&amp;"/"&amp;$C$51, "")), IFERROR(MONTH($J$2+32)&amp;"/"&amp;INDEX(Bills1[Date &lt;d&gt;], ROWS($B$1:$B23)), IFERROR(MONTH($J$2+32)&amp;"/"&amp;INDEX(DAY(Bills2[Date &lt;d&gt;]), (ROWS($B$1:$B23)-ROWS(Bills1[Date &lt;d&gt;]))), ""))), "")</f>
        <v/>
      </c>
      <c r="N24" s="130" t="str">
        <f>IF(IFERROR(INDEX(Bills1[Amount],ROWS($B$1:$B23)),IFERROR(INDEX(Bills2[Amount],(ROWS($B$1:$B23)-ROWS(Bills1[Amount]))),))&gt;0,-IFERROR(INDEX(Bills1[Amount],ROWS($B$1:$B23)),IFERROR(INDEX(Bills2[Amount],(ROWS($B$1:$B23)-ROWS(Bills1[Amount]))),)), "")</f>
        <v/>
      </c>
      <c r="P24" s="129" t="str">
        <f ca="1">IF(ISNUMBER(bills_curr_plus5[[#This Row],[bills]]), IF(OR(MONTH($M$2)=12, YEAR($M$2)=YEAR(TODAY())+1), IFERROR(MONTH($M$2+32)&amp;"/"&amp;INDEX(Bills1[Date &lt;d&gt;], ROWS($B$1:$B23))&amp;"/"&amp;$C$51, IFERROR(MONTH($M$2+32)&amp;"/"&amp;INDEX(DAY(Bills2[Date &lt;d&gt;]), (ROWS($B$1:$B23)-ROWS(Bills1[Date &lt;d&gt;])))&amp;"/"&amp;$C$51, "")), IFERROR(MONTH($M$2+32)&amp;"/"&amp;INDEX(Bills1[Date &lt;d&gt;], ROWS($B$1:$B23)), IFERROR(MONTH($M$2+32)&amp;"/"&amp;INDEX(DAY(Bills2[Date &lt;d&gt;]), (ROWS($B$1:$B23)-ROWS(Bills1[Date &lt;d&gt;]))), ""))), "")</f>
        <v/>
      </c>
      <c r="Q24" s="130" t="str">
        <f>IF(IFERROR(INDEX(Bills1[Amount],ROWS($B$1:$B23)),IFERROR(INDEX(Bills2[Amount],(ROWS($B$1:$B23)-ROWS(Bills1[Amount]))),))&gt;0,-IFERROR(INDEX(Bills1[Amount],ROWS($B$1:$B23)),IFERROR(INDEX(Bills2[Amount],(ROWS($B$1:$B23)-ROWS(Bills1[Amount]))),)), "")</f>
        <v/>
      </c>
      <c r="R24" s="130"/>
      <c r="S24" s="129" t="str">
        <f ca="1">IF(ISNUMBER(bills_curr_plus6[[#This Row],[bills]]),
IF(OR(MONTH($P$2)=12, YEAR($P$2)=YEAR(TODAY())+1),
IFERROR(MONTH($P$2+32)&amp;"/"&amp;INDEX(Bills1[Date &lt;d&gt;], ROWS($B$1:$B23))&amp;"/"&amp;$C$51,
IFERROR(MONTH($P$2+32)&amp;"/"&amp;INDEX(DAY(Bills2[Date &lt;d&gt;]), (ROWS($B$1:$B23)-ROWS(Bills1[Date &lt;d&gt;])))&amp;"/"&amp;$C$51, "")),
IFERROR(MONTH($P$2+32)&amp;"/"&amp;INDEX(Bills1[Date &lt;d&gt;], ROWS($B$1:$B23)),
IFERROR(MONTH($P$2+32)&amp;"/"&amp;INDEX(DAY(Bills2[Date &lt;d&gt;]), (ROWS($B$1:$B23)-ROWS(Bills1[Date &lt;d&gt;]))), ""))), "")</f>
        <v/>
      </c>
      <c r="T24" s="130" t="str">
        <f>IF(IFERROR(INDEX(Bills1[Amount],ROWS($B$1:$B23)),
IFERROR(INDEX(Bills2[Amount],(ROWS($B$1:$B23)-ROWS(Bills1[Amount]))),))&gt;0,
-IFERROR(INDEX(Bills1[Amount],ROWS($B$1:$B23)),
IFERROR(INDEX(Bills2[Amount],(ROWS($B$1:$B23)-ROWS(Bills1[Amount]))),)), "")</f>
        <v/>
      </c>
      <c r="V24" s="129">
        <v>43792</v>
      </c>
      <c r="W24" s="1">
        <f>DAY(income_future[[#This Row],[dates]])</f>
        <v>23</v>
      </c>
      <c r="X24" s="130">
        <f ca="1">SUMIF(income_curr[mod( )], MOD(V24, 14), income_curr[income])</f>
        <v>0</v>
      </c>
      <c r="Z24" s="132">
        <f ca="1">IF(TEXT(Table10[[#This Row],[dates]], "ddd")="Mon", 999999999, "")</f>
        <v>999999999</v>
      </c>
      <c r="AA24" s="132" t="str">
        <f ca="1">IF(TODAY()=Table10[[#This Row],[dates]], TEXT(DATE(2019, MONTH(Table10[[#This Row],[dates]]), 1), "mmm"), IFERROR(IF(MONTH(Table10[[#This Row],[dates]])&lt;&gt;MONTH(AC23), TEXT(DATE(2019, MONTH(Table10[[#This Row],[dates]]), 1), "mmm"), ""), ""))</f>
        <v/>
      </c>
      <c r="AB24" s="133">
        <f ca="1">DAY('Data Preparation'!$AC24)</f>
        <v>2</v>
      </c>
      <c r="AC24" s="134">
        <f t="shared" ca="1" si="0"/>
        <v>43801</v>
      </c>
      <c r="AD2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4" s="136">
        <f ca="1">IFERROR(
IF(MONTH(Table10[[#This Row],[dates]])&lt;&gt;MONTH($AC23), Table10[[#This Row],[delta $]]+AE23-SUM(Bills3[Amount]), N("deducts other bills at the end of each month")+
IF(Table10[[#This Row],[delta $]]&lt;&gt;0, Table10[[#This Row],[delta $]]+AE23,
AE23)),
"")</f>
        <v>2568</v>
      </c>
      <c r="AF24" s="136">
        <f ca="1">Table10[[#This Row],[sum per date]]-IF(MONTH(Table10[[#This Row],[dates]])=MONTH(TODAY()),
SUMIF(Bills3[Paid?], "&lt;&gt;Y", Bills3[Amount]), SUM(Bills3[Amount]))</f>
        <v>1948</v>
      </c>
      <c r="AG24" s="136" t="e">
        <f ca="1">IF(AND(
Table10[[#This Row],[fluctuation]]=MIN(INDEX(Table10[fluctuation], MATCH(TODAY(),Table10[dates], 0)):INDEX(Table10[fluctuation], MATCH(end_date,Table10[dates], 0))),
OR(ISNA(INDEX($AF$2:AF23, MATCH(Table10[[#This Row],[fluctuation]], $AF$2:AF23, 0))), ROW(AG24)=2)),
Table10[[#This Row],[fluctuation]],
NA())</f>
        <v>#N/A</v>
      </c>
    </row>
    <row r="25" spans="1:38" x14ac:dyDescent="0.25">
      <c r="A25" s="129" t="str">
        <f ca="1">IF(ISNUMBER(bills_curr_mo[[#This Row],[bills]]), IFERROR(MONTH(TODAY())&amp;"/"&amp;INDEX(Bills1[Date &lt;d&gt;], ROWS(B$1:$B24)), IFERROR(MONTH(TODAY())&amp;"/"&amp;INDEX(DAY(Bills2[Date &lt;d&gt;]), (ROWS(B$1:$B24)-ROWS(Bills1[Date &lt;d&gt;]))), "")), "")</f>
        <v>11/15</v>
      </c>
      <c r="B25" s="130">
        <f>IF(IFERROR(INDEX(Bills1[Amount],ROWS($B$1:$B24)),IFERROR(INDEX(Bills2[Amount],(ROWS($B$1:$B24)-ROWS(Bills1[Amount]))),))&gt;0,-IFERROR(INDEX(Bills1[Amount],ROWS($B$1:$B24)),IFERROR(INDEX(Bills2[Amount],(ROWS($B$1:$B24)-ROWS(Bills1[Amount]))),)), "")</f>
        <v>-212</v>
      </c>
      <c r="D25" s="129" t="str">
        <f ca="1">IF(ISNUMBER(bills_curr_plus1[[#This Row],[bills]]), IF(OR(MONTH($A$2)=12, YEAR($A$2)=YEAR(TODAY())+1), IFERROR(MONTH($A$2+32)&amp;"/"&amp;INDEX(Bills1[Date &lt;d&gt;], ROWS($B$1:$B24))&amp;"/"&amp;$C$51, IFERROR(MONTH($A$2+32)&amp;"/"&amp;INDEX(DAY(Bills2[Date &lt;d&gt;]), (ROWS($B$1:$B24)-ROWS(Bills1[Date &lt;d&gt;])))&amp;"/"&amp;$C$51, "")), IFERROR(MONTH($A$2+32)&amp;"/"&amp;INDEX(Bills1[Date &lt;d&gt;], ROWS($B$1:$B24)), IFERROR(MONTH($A$2+32)&amp;"/"&amp;INDEX(DAY(Bills2[Date &lt;d&gt;]), (ROWS($B$1:$B24)-ROWS(Bills1[Date &lt;d&gt;]))), ""))), "")</f>
        <v>12/15</v>
      </c>
      <c r="E25" s="130">
        <f>IF(IFERROR(INDEX(Bills1[Amount],ROWS($B$1:$B24)),IFERROR(INDEX(Bills2[Amount],(ROWS($B$1:$B24)-ROWS(Bills1[Amount]))),))&gt;0,-IFERROR(INDEX(Bills1[Amount],ROWS($B$1:$B24)),IFERROR(INDEX(Bills2[Amount],(ROWS($B$1:$B24)-ROWS(Bills1[Amount]))),)), "")</f>
        <v>-212</v>
      </c>
      <c r="G25" s="129" t="str">
        <f ca="1">IF(ISNUMBER(bills_curr_plus2[[#This Row],[bills]]), IF(OR(MONTH($D$2)=12, YEAR($D$2)=YEAR(TODAY())+1), IFERROR(MONTH($D$2+32)&amp;"/"&amp;INDEX(Bills1[Date &lt;d&gt;], ROWS($B$1:$B24))&amp;"/"&amp;$C$51, IFERROR(MONTH($D$2+32)&amp;"/"&amp;INDEX(DAY(Bills2[Date &lt;d&gt;]), (ROWS($B$1:$B24)-ROWS(Bills1[Date &lt;d&gt;])))&amp;"/"&amp;$C$51, "")), IFERROR(MONTH($D$2+32)&amp;"/"&amp;INDEX(Bills1[Date &lt;d&gt;], ROWS($B$1:$B24)), IFERROR(MONTH($D$2+32)&amp;"/"&amp;INDEX(DAY(Bills2[Date &lt;d&gt;]), (ROWS($B$1:$B24)-ROWS(Bills1[Date &lt;d&gt;]))), ""))), "")</f>
        <v>1/15/2020</v>
      </c>
      <c r="H25" s="130">
        <f>IF(IFERROR(INDEX(Bills1[Amount],ROWS($B$1:$B24)),IFERROR(INDEX(Bills2[Amount],(ROWS($B$1:$B24)-ROWS(Bills1[Amount]))),))&gt;0,-IFERROR(INDEX(Bills1[Amount],ROWS($B$1:$B24)),IFERROR(INDEX(Bills2[Amount],(ROWS($B$1:$B24)-ROWS(Bills1[Amount]))),)), "")</f>
        <v>-212</v>
      </c>
      <c r="J25" s="129" t="str">
        <f ca="1">IF(ISNUMBER(bills_curr_plus3[[#This Row],[bills]]), IF(OR(MONTH($G$2)=12, YEAR($G$2)=YEAR(TODAY())+1), IFERROR(MONTH($G$2+32)&amp;"/"&amp;INDEX(Bills1[Date &lt;d&gt;], ROWS($B$1:$B24))&amp;"/"&amp;$C$51, IFERROR(MONTH($G$2+32)&amp;"/"&amp;INDEX(DAY(Bills2[Date &lt;d&gt;]), (ROWS($B$1:$B24)-ROWS(Bills1[Date &lt;d&gt;])))&amp;"/"&amp;$C$51, "")), IFERROR(MONTH($G$2+32)&amp;"/"&amp;INDEX(Bills1[Date &lt;d&gt;], ROWS($B$1:$B24)), IFERROR(MONTH($G$2+32)&amp;"/"&amp;INDEX(DAY(Bills2[Date &lt;d&gt;]), (ROWS($B$1:$B24)-ROWS(Bills1[Date &lt;d&gt;]))), ""))), "")</f>
        <v>2/15/2020</v>
      </c>
      <c r="K25" s="130">
        <f>IF(IFERROR(INDEX(Bills1[Amount],ROWS($B$1:$B24)),IFERROR(INDEX(Bills2[Amount],(ROWS($B$1:$B24)-ROWS(Bills1[Amount]))),))&gt;0,-IFERROR(INDEX(Bills1[Amount],ROWS($B$1:$B24)),IFERROR(INDEX(Bills2[Amount],(ROWS($B$1:$B24)-ROWS(Bills1[Amount]))),)), "")</f>
        <v>-212</v>
      </c>
      <c r="M25" s="129" t="str">
        <f ca="1">IF(ISNUMBER(bills_curr_plus4[[#This Row],[bills]]), IF(OR(MONTH($J$2)=12, YEAR($J$2)=YEAR(TODAY())+1), IFERROR(MONTH($J$2+32)&amp;"/"&amp;INDEX(Bills1[Date &lt;d&gt;], ROWS($B$1:$B24))&amp;"/"&amp;$C$51, IFERROR(MONTH($J$2+32)&amp;"/"&amp;INDEX(DAY(Bills2[Date &lt;d&gt;]), (ROWS($B$1:$B24)-ROWS(Bills1[Date &lt;d&gt;])))&amp;"/"&amp;$C$51, "")), IFERROR(MONTH($J$2+32)&amp;"/"&amp;INDEX(Bills1[Date &lt;d&gt;], ROWS($B$1:$B24)), IFERROR(MONTH($J$2+32)&amp;"/"&amp;INDEX(DAY(Bills2[Date &lt;d&gt;]), (ROWS($B$1:$B24)-ROWS(Bills1[Date &lt;d&gt;]))), ""))), "")</f>
        <v>3/15/2020</v>
      </c>
      <c r="N25" s="130">
        <f>IF(IFERROR(INDEX(Bills1[Amount],ROWS($B$1:$B24)),IFERROR(INDEX(Bills2[Amount],(ROWS($B$1:$B24)-ROWS(Bills1[Amount]))),))&gt;0,-IFERROR(INDEX(Bills1[Amount],ROWS($B$1:$B24)),IFERROR(INDEX(Bills2[Amount],(ROWS($B$1:$B24)-ROWS(Bills1[Amount]))),)), "")</f>
        <v>-212</v>
      </c>
      <c r="P25" s="129" t="str">
        <f ca="1">IF(ISNUMBER(bills_curr_plus5[[#This Row],[bills]]), IF(OR(MONTH($M$2)=12, YEAR($M$2)=YEAR(TODAY())+1), IFERROR(MONTH($M$2+32)&amp;"/"&amp;INDEX(Bills1[Date &lt;d&gt;], ROWS($B$1:$B24))&amp;"/"&amp;$C$51, IFERROR(MONTH($M$2+32)&amp;"/"&amp;INDEX(DAY(Bills2[Date &lt;d&gt;]), (ROWS($B$1:$B24)-ROWS(Bills1[Date &lt;d&gt;])))&amp;"/"&amp;$C$51, "")), IFERROR(MONTH($M$2+32)&amp;"/"&amp;INDEX(Bills1[Date &lt;d&gt;], ROWS($B$1:$B24)), IFERROR(MONTH($M$2+32)&amp;"/"&amp;INDEX(DAY(Bills2[Date &lt;d&gt;]), (ROWS($B$1:$B24)-ROWS(Bills1[Date &lt;d&gt;]))), ""))), "")</f>
        <v>4/15/2020</v>
      </c>
      <c r="Q25" s="130">
        <f>IF(IFERROR(INDEX(Bills1[Amount],ROWS($B$1:$B24)),IFERROR(INDEX(Bills2[Amount],(ROWS($B$1:$B24)-ROWS(Bills1[Amount]))),))&gt;0,-IFERROR(INDEX(Bills1[Amount],ROWS($B$1:$B24)),IFERROR(INDEX(Bills2[Amount],(ROWS($B$1:$B24)-ROWS(Bills1[Amount]))),)), "")</f>
        <v>-212</v>
      </c>
      <c r="R25" s="130"/>
      <c r="S25" s="129" t="str">
        <f ca="1">IF(ISNUMBER(bills_curr_plus6[[#This Row],[bills]]),
IF(OR(MONTH($P$2)=12, YEAR($P$2)=YEAR(TODAY())+1),
IFERROR(MONTH($P$2+32)&amp;"/"&amp;INDEX(Bills1[Date &lt;d&gt;], ROWS($B$1:$B24))&amp;"/"&amp;$C$51,
IFERROR(MONTH($P$2+32)&amp;"/"&amp;INDEX(DAY(Bills2[Date &lt;d&gt;]), (ROWS($B$1:$B24)-ROWS(Bills1[Date &lt;d&gt;])))&amp;"/"&amp;$C$51, "")),
IFERROR(MONTH($P$2+32)&amp;"/"&amp;INDEX(Bills1[Date &lt;d&gt;], ROWS($B$1:$B24)),
IFERROR(MONTH($P$2+32)&amp;"/"&amp;INDEX(DAY(Bills2[Date &lt;d&gt;]), (ROWS($B$1:$B24)-ROWS(Bills1[Date &lt;d&gt;]))), ""))), "")</f>
        <v>5/15/2020</v>
      </c>
      <c r="T25" s="130">
        <f>IF(IFERROR(INDEX(Bills1[Amount],ROWS($B$1:$B24)),
IFERROR(INDEX(Bills2[Amount],(ROWS($B$1:$B24)-ROWS(Bills1[Amount]))),))&gt;0,
-IFERROR(INDEX(Bills1[Amount],ROWS($B$1:$B24)),
IFERROR(INDEX(Bills2[Amount],(ROWS($B$1:$B24)-ROWS(Bills1[Amount]))),)), "")</f>
        <v>-212</v>
      </c>
      <c r="V25" s="129">
        <v>43793</v>
      </c>
      <c r="W25" s="1">
        <f>DAY(income_future[[#This Row],[dates]])</f>
        <v>24</v>
      </c>
      <c r="X25" s="130">
        <f ca="1">SUMIF(income_curr[mod( )], MOD(V25, 14), income_curr[income])</f>
        <v>0</v>
      </c>
      <c r="Z25" s="132" t="str">
        <f ca="1">IF(TEXT(Table10[[#This Row],[dates]], "ddd")="Mon", 999999999, "")</f>
        <v/>
      </c>
      <c r="AA25" s="132" t="str">
        <f ca="1">IF(TODAY()=Table10[[#This Row],[dates]], TEXT(DATE(2019, MONTH(Table10[[#This Row],[dates]]), 1), "mmm"), IFERROR(IF(MONTH(Table10[[#This Row],[dates]])&lt;&gt;MONTH(AC24), TEXT(DATE(2019, MONTH(Table10[[#This Row],[dates]]), 1), "mmm"), ""), ""))</f>
        <v/>
      </c>
      <c r="AB25" s="133">
        <f ca="1">DAY('Data Preparation'!$AC25)</f>
        <v>3</v>
      </c>
      <c r="AC25" s="134">
        <f t="shared" ca="1" si="0"/>
        <v>43802</v>
      </c>
      <c r="AD2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5" s="136">
        <f ca="1">IFERROR(
IF(MONTH(Table10[[#This Row],[dates]])&lt;&gt;MONTH($AC24), Table10[[#This Row],[delta $]]+AE24-SUM(Bills3[Amount]), N("deducts other bills at the end of each month")+
IF(Table10[[#This Row],[delta $]]&lt;&gt;0, Table10[[#This Row],[delta $]]+AE24,
AE24)),
"")</f>
        <v>2568</v>
      </c>
      <c r="AF25" s="136">
        <f ca="1">Table10[[#This Row],[sum per date]]-IF(MONTH(Table10[[#This Row],[dates]])=MONTH(TODAY()),
SUMIF(Bills3[Paid?], "&lt;&gt;Y", Bills3[Amount]), SUM(Bills3[Amount]))</f>
        <v>1948</v>
      </c>
      <c r="AG25" s="136" t="e">
        <f ca="1">IF(AND(
Table10[[#This Row],[fluctuation]]=MIN(INDEX(Table10[fluctuation], MATCH(TODAY(),Table10[dates], 0)):INDEX(Table10[fluctuation], MATCH(end_date,Table10[dates], 0))),
OR(ISNA(INDEX($AF$2:AF24, MATCH(Table10[[#This Row],[fluctuation]], $AF$2:AF24, 0))), ROW(AG25)=2)),
Table10[[#This Row],[fluctuation]],
NA())</f>
        <v>#N/A</v>
      </c>
    </row>
    <row r="26" spans="1:38" x14ac:dyDescent="0.25">
      <c r="A26" s="129" t="str">
        <f ca="1">IF(ISNUMBER(bills_curr_mo[[#This Row],[bills]]), IFERROR(MONTH(TODAY())&amp;"/"&amp;INDEX(Bills1[Date &lt;d&gt;], ROWS(B$1:$B25)), IFERROR(MONTH(TODAY())&amp;"/"&amp;INDEX(DAY(Bills2[Date &lt;d&gt;]), (ROWS(B$1:$B25)-ROWS(Bills1[Date &lt;d&gt;]))), "")), "")</f>
        <v/>
      </c>
      <c r="B26" s="130" t="str">
        <f>IF(IFERROR(INDEX(Bills1[Amount],ROWS($B$1:$B25)),IFERROR(INDEX(Bills2[Amount],(ROWS($B$1:$B25)-ROWS(Bills1[Amount]))),))&gt;0,-IFERROR(INDEX(Bills1[Amount],ROWS($B$1:$B25)),IFERROR(INDEX(Bills2[Amount],(ROWS($B$1:$B25)-ROWS(Bills1[Amount]))),)), "")</f>
        <v/>
      </c>
      <c r="D26" s="129" t="str">
        <f ca="1">IF(ISNUMBER(bills_curr_plus1[[#This Row],[bills]]), IF(OR(MONTH($A$2)=12, YEAR($A$2)=YEAR(TODAY())+1), IFERROR(MONTH($A$2+32)&amp;"/"&amp;INDEX(Bills1[Date &lt;d&gt;], ROWS($B$1:$B25))&amp;"/"&amp;$C$51, IFERROR(MONTH($A$2+32)&amp;"/"&amp;INDEX(DAY(Bills2[Date &lt;d&gt;]), (ROWS($B$1:$B25)-ROWS(Bills1[Date &lt;d&gt;])))&amp;"/"&amp;$C$51, "")), IFERROR(MONTH($A$2+32)&amp;"/"&amp;INDEX(Bills1[Date &lt;d&gt;], ROWS($B$1:$B25)), IFERROR(MONTH($A$2+32)&amp;"/"&amp;INDEX(DAY(Bills2[Date &lt;d&gt;]), (ROWS($B$1:$B25)-ROWS(Bills1[Date &lt;d&gt;]))), ""))), "")</f>
        <v/>
      </c>
      <c r="E26" s="130" t="str">
        <f>IF(IFERROR(INDEX(Bills1[Amount],ROWS($B$1:$B25)),IFERROR(INDEX(Bills2[Amount],(ROWS($B$1:$B25)-ROWS(Bills1[Amount]))),))&gt;0,-IFERROR(INDEX(Bills1[Amount],ROWS($B$1:$B25)),IFERROR(INDEX(Bills2[Amount],(ROWS($B$1:$B25)-ROWS(Bills1[Amount]))),)), "")</f>
        <v/>
      </c>
      <c r="G26" s="129" t="str">
        <f ca="1">IF(ISNUMBER(bills_curr_plus2[[#This Row],[bills]]), IF(OR(MONTH($D$2)=12, YEAR($D$2)=YEAR(TODAY())+1), IFERROR(MONTH($D$2+32)&amp;"/"&amp;INDEX(Bills1[Date &lt;d&gt;], ROWS($B$1:$B25))&amp;"/"&amp;$C$51, IFERROR(MONTH($D$2+32)&amp;"/"&amp;INDEX(DAY(Bills2[Date &lt;d&gt;]), (ROWS($B$1:$B25)-ROWS(Bills1[Date &lt;d&gt;])))&amp;"/"&amp;$C$51, "")), IFERROR(MONTH($D$2+32)&amp;"/"&amp;INDEX(Bills1[Date &lt;d&gt;], ROWS($B$1:$B25)), IFERROR(MONTH($D$2+32)&amp;"/"&amp;INDEX(DAY(Bills2[Date &lt;d&gt;]), (ROWS($B$1:$B25)-ROWS(Bills1[Date &lt;d&gt;]))), ""))), "")</f>
        <v/>
      </c>
      <c r="H26" s="130" t="str">
        <f>IF(IFERROR(INDEX(Bills1[Amount],ROWS($B$1:$B25)),IFERROR(INDEX(Bills2[Amount],(ROWS($B$1:$B25)-ROWS(Bills1[Amount]))),))&gt;0,-IFERROR(INDEX(Bills1[Amount],ROWS($B$1:$B25)),IFERROR(INDEX(Bills2[Amount],(ROWS($B$1:$B25)-ROWS(Bills1[Amount]))),)), "")</f>
        <v/>
      </c>
      <c r="J26" s="129" t="str">
        <f ca="1">IF(ISNUMBER(bills_curr_plus3[[#This Row],[bills]]), IF(OR(MONTH($G$2)=12, YEAR($G$2)=YEAR(TODAY())+1), IFERROR(MONTH($G$2+32)&amp;"/"&amp;INDEX(Bills1[Date &lt;d&gt;], ROWS($B$1:$B25))&amp;"/"&amp;$C$51, IFERROR(MONTH($G$2+32)&amp;"/"&amp;INDEX(DAY(Bills2[Date &lt;d&gt;]), (ROWS($B$1:$B25)-ROWS(Bills1[Date &lt;d&gt;])))&amp;"/"&amp;$C$51, "")), IFERROR(MONTH($G$2+32)&amp;"/"&amp;INDEX(Bills1[Date &lt;d&gt;], ROWS($B$1:$B25)), IFERROR(MONTH($G$2+32)&amp;"/"&amp;INDEX(DAY(Bills2[Date &lt;d&gt;]), (ROWS($B$1:$B25)-ROWS(Bills1[Date &lt;d&gt;]))), ""))), "")</f>
        <v/>
      </c>
      <c r="K26" s="130" t="str">
        <f>IF(IFERROR(INDEX(Bills1[Amount],ROWS($B$1:$B25)),IFERROR(INDEX(Bills2[Amount],(ROWS($B$1:$B25)-ROWS(Bills1[Amount]))),))&gt;0,-IFERROR(INDEX(Bills1[Amount],ROWS($B$1:$B25)),IFERROR(INDEX(Bills2[Amount],(ROWS($B$1:$B25)-ROWS(Bills1[Amount]))),)), "")</f>
        <v/>
      </c>
      <c r="M26" s="129" t="str">
        <f ca="1">IF(ISNUMBER(bills_curr_plus4[[#This Row],[bills]]), IF(OR(MONTH($J$2)=12, YEAR($J$2)=YEAR(TODAY())+1), IFERROR(MONTH($J$2+32)&amp;"/"&amp;INDEX(Bills1[Date &lt;d&gt;], ROWS($B$1:$B25))&amp;"/"&amp;$C$51, IFERROR(MONTH($J$2+32)&amp;"/"&amp;INDEX(DAY(Bills2[Date &lt;d&gt;]), (ROWS($B$1:$B25)-ROWS(Bills1[Date &lt;d&gt;])))&amp;"/"&amp;$C$51, "")), IFERROR(MONTH($J$2+32)&amp;"/"&amp;INDEX(Bills1[Date &lt;d&gt;], ROWS($B$1:$B25)), IFERROR(MONTH($J$2+32)&amp;"/"&amp;INDEX(DAY(Bills2[Date &lt;d&gt;]), (ROWS($B$1:$B25)-ROWS(Bills1[Date &lt;d&gt;]))), ""))), "")</f>
        <v/>
      </c>
      <c r="N26" s="130" t="str">
        <f>IF(IFERROR(INDEX(Bills1[Amount],ROWS($B$1:$B25)),IFERROR(INDEX(Bills2[Amount],(ROWS($B$1:$B25)-ROWS(Bills1[Amount]))),))&gt;0,-IFERROR(INDEX(Bills1[Amount],ROWS($B$1:$B25)),IFERROR(INDEX(Bills2[Amount],(ROWS($B$1:$B25)-ROWS(Bills1[Amount]))),)), "")</f>
        <v/>
      </c>
      <c r="P26" s="129" t="str">
        <f ca="1">IF(ISNUMBER(bills_curr_plus5[[#This Row],[bills]]), IF(OR(MONTH($M$2)=12, YEAR($M$2)=YEAR(TODAY())+1), IFERROR(MONTH($M$2+32)&amp;"/"&amp;INDEX(Bills1[Date &lt;d&gt;], ROWS($B$1:$B25))&amp;"/"&amp;$C$51, IFERROR(MONTH($M$2+32)&amp;"/"&amp;INDEX(DAY(Bills2[Date &lt;d&gt;]), (ROWS($B$1:$B25)-ROWS(Bills1[Date &lt;d&gt;])))&amp;"/"&amp;$C$51, "")), IFERROR(MONTH($M$2+32)&amp;"/"&amp;INDEX(Bills1[Date &lt;d&gt;], ROWS($B$1:$B25)), IFERROR(MONTH($M$2+32)&amp;"/"&amp;INDEX(DAY(Bills2[Date &lt;d&gt;]), (ROWS($B$1:$B25)-ROWS(Bills1[Date &lt;d&gt;]))), ""))), "")</f>
        <v/>
      </c>
      <c r="Q26" s="130" t="str">
        <f>IF(IFERROR(INDEX(Bills1[Amount],ROWS($B$1:$B25)),IFERROR(INDEX(Bills2[Amount],(ROWS($B$1:$B25)-ROWS(Bills1[Amount]))),))&gt;0,-IFERROR(INDEX(Bills1[Amount],ROWS($B$1:$B25)),IFERROR(INDEX(Bills2[Amount],(ROWS($B$1:$B25)-ROWS(Bills1[Amount]))),)), "")</f>
        <v/>
      </c>
      <c r="R26" s="130"/>
      <c r="S26" s="129" t="str">
        <f ca="1">IF(ISNUMBER(bills_curr_plus6[[#This Row],[bills]]),
IF(OR(MONTH($P$2)=12, YEAR($P$2)=YEAR(TODAY())+1),
IFERROR(MONTH($P$2+32)&amp;"/"&amp;INDEX(Bills1[Date &lt;d&gt;], ROWS($B$1:$B25))&amp;"/"&amp;$C$51,
IFERROR(MONTH($P$2+32)&amp;"/"&amp;INDEX(DAY(Bills2[Date &lt;d&gt;]), (ROWS($B$1:$B25)-ROWS(Bills1[Date &lt;d&gt;])))&amp;"/"&amp;$C$51, "")),
IFERROR(MONTH($P$2+32)&amp;"/"&amp;INDEX(Bills1[Date &lt;d&gt;], ROWS($B$1:$B25)),
IFERROR(MONTH($P$2+32)&amp;"/"&amp;INDEX(DAY(Bills2[Date &lt;d&gt;]), (ROWS($B$1:$B25)-ROWS(Bills1[Date &lt;d&gt;]))), ""))), "")</f>
        <v/>
      </c>
      <c r="T26" s="130" t="str">
        <f>IF(IFERROR(INDEX(Bills1[Amount],ROWS($B$1:$B25)),
IFERROR(INDEX(Bills2[Amount],(ROWS($B$1:$B25)-ROWS(Bills1[Amount]))),))&gt;0,
-IFERROR(INDEX(Bills1[Amount],ROWS($B$1:$B25)),
IFERROR(INDEX(Bills2[Amount],(ROWS($B$1:$B25)-ROWS(Bills1[Amount]))),)), "")</f>
        <v/>
      </c>
      <c r="V26" s="129">
        <v>43794</v>
      </c>
      <c r="W26" s="1">
        <f>DAY(income_future[[#This Row],[dates]])</f>
        <v>25</v>
      </c>
      <c r="X26" s="130">
        <f ca="1">SUMIF(income_curr[mod( )], MOD(V26, 14), income_curr[income])</f>
        <v>0</v>
      </c>
      <c r="Z26" s="132" t="str">
        <f ca="1">IF(TEXT(Table10[[#This Row],[dates]], "ddd")="Mon", 999999999, "")</f>
        <v/>
      </c>
      <c r="AA26" s="132" t="str">
        <f ca="1">IF(TODAY()=Table10[[#This Row],[dates]], TEXT(DATE(2019, MONTH(Table10[[#This Row],[dates]]), 1), "mmm"), IFERROR(IF(MONTH(Table10[[#This Row],[dates]])&lt;&gt;MONTH(AC25), TEXT(DATE(2019, MONTH(Table10[[#This Row],[dates]]), 1), "mmm"), ""), ""))</f>
        <v/>
      </c>
      <c r="AB26" s="133">
        <f ca="1">DAY('Data Preparation'!$AC26)</f>
        <v>4</v>
      </c>
      <c r="AC26" s="134">
        <f t="shared" ca="1" si="0"/>
        <v>43803</v>
      </c>
      <c r="AD2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6" s="136">
        <f ca="1">IFERROR(
IF(MONTH(Table10[[#This Row],[dates]])&lt;&gt;MONTH($AC25), Table10[[#This Row],[delta $]]+AE25-SUM(Bills3[Amount]), N("deducts other bills at the end of each month")+
IF(Table10[[#This Row],[delta $]]&lt;&gt;0, Table10[[#This Row],[delta $]]+AE25,
AE25)),
"")</f>
        <v>2568</v>
      </c>
      <c r="AF26" s="136">
        <f ca="1">Table10[[#This Row],[sum per date]]-IF(MONTH(Table10[[#This Row],[dates]])=MONTH(TODAY()),
SUMIF(Bills3[Paid?], "&lt;&gt;Y", Bills3[Amount]), SUM(Bills3[Amount]))</f>
        <v>1948</v>
      </c>
      <c r="AG26" s="136" t="e">
        <f ca="1">IF(AND(
Table10[[#This Row],[fluctuation]]=MIN(INDEX(Table10[fluctuation], MATCH(TODAY(),Table10[dates], 0)):INDEX(Table10[fluctuation], MATCH(end_date,Table10[dates], 0))),
OR(ISNA(INDEX($AF$2:AF25, MATCH(Table10[[#This Row],[fluctuation]], $AF$2:AF25, 0))), ROW(AG26)=2)),
Table10[[#This Row],[fluctuation]],
NA())</f>
        <v>#N/A</v>
      </c>
    </row>
    <row r="27" spans="1:38" x14ac:dyDescent="0.25">
      <c r="A27" s="129" t="str">
        <f ca="1">IF(ISNUMBER(bills_curr_mo[[#This Row],[bills]]), IFERROR(MONTH(TODAY())&amp;"/"&amp;INDEX(Bills1[Date &lt;d&gt;], ROWS(B$1:$B26)), IFERROR(MONTH(TODAY())&amp;"/"&amp;INDEX(DAY(Bills2[Date &lt;d&gt;]), (ROWS(B$1:$B26)-ROWS(Bills1[Date &lt;d&gt;]))), "")), "")</f>
        <v/>
      </c>
      <c r="B27" s="130" t="str">
        <f>IF(IFERROR(INDEX(Bills1[Amount],ROWS($B$1:$B26)),IFERROR(INDEX(Bills2[Amount],(ROWS($B$1:$B26)-ROWS(Bills1[Amount]))),))&gt;0,-IFERROR(INDEX(Bills1[Amount],ROWS($B$1:$B26)),IFERROR(INDEX(Bills2[Amount],(ROWS($B$1:$B26)-ROWS(Bills1[Amount]))),)), "")</f>
        <v/>
      </c>
      <c r="D27" s="129" t="str">
        <f ca="1">IF(ISNUMBER(bills_curr_plus1[[#This Row],[bills]]), IF(OR(MONTH($A$2)=12, YEAR($A$2)=YEAR(TODAY())+1), IFERROR(MONTH($A$2+32)&amp;"/"&amp;INDEX(Bills1[Date &lt;d&gt;], ROWS($B$1:$B26))&amp;"/"&amp;$C$51, IFERROR(MONTH($A$2+32)&amp;"/"&amp;INDEX(DAY(Bills2[Date &lt;d&gt;]), (ROWS($B$1:$B26)-ROWS(Bills1[Date &lt;d&gt;])))&amp;"/"&amp;$C$51, "")), IFERROR(MONTH($A$2+32)&amp;"/"&amp;INDEX(Bills1[Date &lt;d&gt;], ROWS($B$1:$B26)), IFERROR(MONTH($A$2+32)&amp;"/"&amp;INDEX(DAY(Bills2[Date &lt;d&gt;]), (ROWS($B$1:$B26)-ROWS(Bills1[Date &lt;d&gt;]))), ""))), "")</f>
        <v/>
      </c>
      <c r="E27" s="130" t="str">
        <f>IF(IFERROR(INDEX(Bills1[Amount],ROWS($B$1:$B26)),IFERROR(INDEX(Bills2[Amount],(ROWS($B$1:$B26)-ROWS(Bills1[Amount]))),))&gt;0,-IFERROR(INDEX(Bills1[Amount],ROWS($B$1:$B26)),IFERROR(INDEX(Bills2[Amount],(ROWS($B$1:$B26)-ROWS(Bills1[Amount]))),)), "")</f>
        <v/>
      </c>
      <c r="G27" s="129" t="str">
        <f ca="1">IF(ISNUMBER(bills_curr_plus2[[#This Row],[bills]]), IF(OR(MONTH($D$2)=12, YEAR($D$2)=YEAR(TODAY())+1), IFERROR(MONTH($D$2+32)&amp;"/"&amp;INDEX(Bills1[Date &lt;d&gt;], ROWS($B$1:$B26))&amp;"/"&amp;$C$51, IFERROR(MONTH($D$2+32)&amp;"/"&amp;INDEX(DAY(Bills2[Date &lt;d&gt;]), (ROWS($B$1:$B26)-ROWS(Bills1[Date &lt;d&gt;])))&amp;"/"&amp;$C$51, "")), IFERROR(MONTH($D$2+32)&amp;"/"&amp;INDEX(Bills1[Date &lt;d&gt;], ROWS($B$1:$B26)), IFERROR(MONTH($D$2+32)&amp;"/"&amp;INDEX(DAY(Bills2[Date &lt;d&gt;]), (ROWS($B$1:$B26)-ROWS(Bills1[Date &lt;d&gt;]))), ""))), "")</f>
        <v/>
      </c>
      <c r="H27" s="130" t="str">
        <f>IF(IFERROR(INDEX(Bills1[Amount],ROWS($B$1:$B26)),IFERROR(INDEX(Bills2[Amount],(ROWS($B$1:$B26)-ROWS(Bills1[Amount]))),))&gt;0,-IFERROR(INDEX(Bills1[Amount],ROWS($B$1:$B26)),IFERROR(INDEX(Bills2[Amount],(ROWS($B$1:$B26)-ROWS(Bills1[Amount]))),)), "")</f>
        <v/>
      </c>
      <c r="J27" s="129" t="str">
        <f ca="1">IF(ISNUMBER(bills_curr_plus3[[#This Row],[bills]]), IF(OR(MONTH($G$2)=12, YEAR($G$2)=YEAR(TODAY())+1), IFERROR(MONTH($G$2+32)&amp;"/"&amp;INDEX(Bills1[Date &lt;d&gt;], ROWS($B$1:$B26))&amp;"/"&amp;$C$51, IFERROR(MONTH($G$2+32)&amp;"/"&amp;INDEX(DAY(Bills2[Date &lt;d&gt;]), (ROWS($B$1:$B26)-ROWS(Bills1[Date &lt;d&gt;])))&amp;"/"&amp;$C$51, "")), IFERROR(MONTH($G$2+32)&amp;"/"&amp;INDEX(Bills1[Date &lt;d&gt;], ROWS($B$1:$B26)), IFERROR(MONTH($G$2+32)&amp;"/"&amp;INDEX(DAY(Bills2[Date &lt;d&gt;]), (ROWS($B$1:$B26)-ROWS(Bills1[Date &lt;d&gt;]))), ""))), "")</f>
        <v/>
      </c>
      <c r="K27" s="130" t="str">
        <f>IF(IFERROR(INDEX(Bills1[Amount],ROWS($B$1:$B26)),IFERROR(INDEX(Bills2[Amount],(ROWS($B$1:$B26)-ROWS(Bills1[Amount]))),))&gt;0,-IFERROR(INDEX(Bills1[Amount],ROWS($B$1:$B26)),IFERROR(INDEX(Bills2[Amount],(ROWS($B$1:$B26)-ROWS(Bills1[Amount]))),)), "")</f>
        <v/>
      </c>
      <c r="M27" s="129" t="str">
        <f ca="1">IF(ISNUMBER(bills_curr_plus4[[#This Row],[bills]]), IF(OR(MONTH($J$2)=12, YEAR($J$2)=YEAR(TODAY())+1), IFERROR(MONTH($J$2+32)&amp;"/"&amp;INDEX(Bills1[Date &lt;d&gt;], ROWS($B$1:$B26))&amp;"/"&amp;$C$51, IFERROR(MONTH($J$2+32)&amp;"/"&amp;INDEX(DAY(Bills2[Date &lt;d&gt;]), (ROWS($B$1:$B26)-ROWS(Bills1[Date &lt;d&gt;])))&amp;"/"&amp;$C$51, "")), IFERROR(MONTH($J$2+32)&amp;"/"&amp;INDEX(Bills1[Date &lt;d&gt;], ROWS($B$1:$B26)), IFERROR(MONTH($J$2+32)&amp;"/"&amp;INDEX(DAY(Bills2[Date &lt;d&gt;]), (ROWS($B$1:$B26)-ROWS(Bills1[Date &lt;d&gt;]))), ""))), "")</f>
        <v/>
      </c>
      <c r="N27" s="130" t="str">
        <f>IF(IFERROR(INDEX(Bills1[Amount],ROWS($B$1:$B26)),IFERROR(INDEX(Bills2[Amount],(ROWS($B$1:$B26)-ROWS(Bills1[Amount]))),))&gt;0,-IFERROR(INDEX(Bills1[Amount],ROWS($B$1:$B26)),IFERROR(INDEX(Bills2[Amount],(ROWS($B$1:$B26)-ROWS(Bills1[Amount]))),)), "")</f>
        <v/>
      </c>
      <c r="P27" s="129" t="str">
        <f ca="1">IF(ISNUMBER(bills_curr_plus5[[#This Row],[bills]]), IF(OR(MONTH($M$2)=12, YEAR($M$2)=YEAR(TODAY())+1), IFERROR(MONTH($M$2+32)&amp;"/"&amp;INDEX(Bills1[Date &lt;d&gt;], ROWS($B$1:$B26))&amp;"/"&amp;$C$51, IFERROR(MONTH($M$2+32)&amp;"/"&amp;INDEX(DAY(Bills2[Date &lt;d&gt;]), (ROWS($B$1:$B26)-ROWS(Bills1[Date &lt;d&gt;])))&amp;"/"&amp;$C$51, "")), IFERROR(MONTH($M$2+32)&amp;"/"&amp;INDEX(Bills1[Date &lt;d&gt;], ROWS($B$1:$B26)), IFERROR(MONTH($M$2+32)&amp;"/"&amp;INDEX(DAY(Bills2[Date &lt;d&gt;]), (ROWS($B$1:$B26)-ROWS(Bills1[Date &lt;d&gt;]))), ""))), "")</f>
        <v/>
      </c>
      <c r="Q27" s="130" t="str">
        <f>IF(IFERROR(INDEX(Bills1[Amount],ROWS($B$1:$B26)),IFERROR(INDEX(Bills2[Amount],(ROWS($B$1:$B26)-ROWS(Bills1[Amount]))),))&gt;0,-IFERROR(INDEX(Bills1[Amount],ROWS($B$1:$B26)),IFERROR(INDEX(Bills2[Amount],(ROWS($B$1:$B26)-ROWS(Bills1[Amount]))),)), "")</f>
        <v/>
      </c>
      <c r="R27" s="130"/>
      <c r="S27" s="129" t="str">
        <f ca="1">IF(ISNUMBER(bills_curr_plus6[[#This Row],[bills]]),
IF(OR(MONTH($P$2)=12, YEAR($P$2)=YEAR(TODAY())+1),
IFERROR(MONTH($P$2+32)&amp;"/"&amp;INDEX(Bills1[Date &lt;d&gt;], ROWS($B$1:$B26))&amp;"/"&amp;$C$51,
IFERROR(MONTH($P$2+32)&amp;"/"&amp;INDEX(DAY(Bills2[Date &lt;d&gt;]), (ROWS($B$1:$B26)-ROWS(Bills1[Date &lt;d&gt;])))&amp;"/"&amp;$C$51, "")),
IFERROR(MONTH($P$2+32)&amp;"/"&amp;INDEX(Bills1[Date &lt;d&gt;], ROWS($B$1:$B26)),
IFERROR(MONTH($P$2+32)&amp;"/"&amp;INDEX(DAY(Bills2[Date &lt;d&gt;]), (ROWS($B$1:$B26)-ROWS(Bills1[Date &lt;d&gt;]))), ""))), "")</f>
        <v/>
      </c>
      <c r="T27" s="130" t="str">
        <f>IF(IFERROR(INDEX(Bills1[Amount],ROWS($B$1:$B26)),
IFERROR(INDEX(Bills2[Amount],(ROWS($B$1:$B26)-ROWS(Bills1[Amount]))),))&gt;0,
-IFERROR(INDEX(Bills1[Amount],ROWS($B$1:$B26)),
IFERROR(INDEX(Bills2[Amount],(ROWS($B$1:$B26)-ROWS(Bills1[Amount]))),)), "")</f>
        <v/>
      </c>
      <c r="V27" s="129">
        <v>43795</v>
      </c>
      <c r="W27" s="1">
        <f>DAY(income_future[[#This Row],[dates]])</f>
        <v>26</v>
      </c>
      <c r="X27" s="130">
        <f ca="1">SUMIF(income_curr[mod( )], MOD(V27, 14), income_curr[income])</f>
        <v>0</v>
      </c>
      <c r="Z27" s="132" t="str">
        <f ca="1">IF(TEXT(Table10[[#This Row],[dates]], "ddd")="Mon", 999999999, "")</f>
        <v/>
      </c>
      <c r="AA27" s="132" t="str">
        <f ca="1">IF(TODAY()=Table10[[#This Row],[dates]], TEXT(DATE(2019, MONTH(Table10[[#This Row],[dates]]), 1), "mmm"), IFERROR(IF(MONTH(Table10[[#This Row],[dates]])&lt;&gt;MONTH(AC26), TEXT(DATE(2019, MONTH(Table10[[#This Row],[dates]]), 1), "mmm"), ""), ""))</f>
        <v/>
      </c>
      <c r="AB27" s="133">
        <f ca="1">DAY('Data Preparation'!$AC27)</f>
        <v>5</v>
      </c>
      <c r="AC27" s="134">
        <f t="shared" ca="1" si="0"/>
        <v>43804</v>
      </c>
      <c r="AD2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7" s="136">
        <f ca="1">IFERROR(
IF(MONTH(Table10[[#This Row],[dates]])&lt;&gt;MONTH($AC26), Table10[[#This Row],[delta $]]+AE26-SUM(Bills3[Amount]), N("deducts other bills at the end of each month")+
IF(Table10[[#This Row],[delta $]]&lt;&gt;0, Table10[[#This Row],[delta $]]+AE26,
AE26)),
"")</f>
        <v>2568</v>
      </c>
      <c r="AF27" s="136">
        <f ca="1">Table10[[#This Row],[sum per date]]-IF(MONTH(Table10[[#This Row],[dates]])=MONTH(TODAY()),
SUMIF(Bills3[Paid?], "&lt;&gt;Y", Bills3[Amount]), SUM(Bills3[Amount]))</f>
        <v>1948</v>
      </c>
      <c r="AG27" s="136" t="e">
        <f ca="1">IF(AND(
Table10[[#This Row],[fluctuation]]=MIN(INDEX(Table10[fluctuation], MATCH(TODAY(),Table10[dates], 0)):INDEX(Table10[fluctuation], MATCH(end_date,Table10[dates], 0))),
OR(ISNA(INDEX($AF$2:AF26, MATCH(Table10[[#This Row],[fluctuation]], $AF$2:AF26, 0))), ROW(AG27)=2)),
Table10[[#This Row],[fluctuation]],
NA())</f>
        <v>#N/A</v>
      </c>
    </row>
    <row r="28" spans="1:38" x14ac:dyDescent="0.25">
      <c r="A28" s="129" t="str">
        <f ca="1">IF(ISNUMBER(bills_curr_mo[[#This Row],[bills]]), IFERROR(MONTH(TODAY())&amp;"/"&amp;INDEX(Bills1[Date &lt;d&gt;], ROWS(B$1:$B27)), IFERROR(MONTH(TODAY())&amp;"/"&amp;INDEX(DAY(Bills2[Date &lt;d&gt;]), (ROWS(B$1:$B27)-ROWS(Bills1[Date &lt;d&gt;]))), "")), "")</f>
        <v/>
      </c>
      <c r="B28" s="130" t="str">
        <f>IF(IFERROR(INDEX(Bills1[Amount],ROWS($B$1:$B27)),IFERROR(INDEX(Bills2[Amount],(ROWS($B$1:$B27)-ROWS(Bills1[Amount]))),))&gt;0,-IFERROR(INDEX(Bills1[Amount],ROWS($B$1:$B27)),IFERROR(INDEX(Bills2[Amount],(ROWS($B$1:$B27)-ROWS(Bills1[Amount]))),)), "")</f>
        <v/>
      </c>
      <c r="D28" s="129" t="str">
        <f ca="1">IF(ISNUMBER(bills_curr_plus1[[#This Row],[bills]]), IF(OR(MONTH($A$2)=12, YEAR($A$2)=YEAR(TODAY())+1), IFERROR(MONTH($A$2+32)&amp;"/"&amp;INDEX(Bills1[Date &lt;d&gt;], ROWS($B$1:$B27))&amp;"/"&amp;$C$51, IFERROR(MONTH($A$2+32)&amp;"/"&amp;INDEX(DAY(Bills2[Date &lt;d&gt;]), (ROWS($B$1:$B27)-ROWS(Bills1[Date &lt;d&gt;])))&amp;"/"&amp;$C$51, "")), IFERROR(MONTH($A$2+32)&amp;"/"&amp;INDEX(Bills1[Date &lt;d&gt;], ROWS($B$1:$B27)), IFERROR(MONTH($A$2+32)&amp;"/"&amp;INDEX(DAY(Bills2[Date &lt;d&gt;]), (ROWS($B$1:$B27)-ROWS(Bills1[Date &lt;d&gt;]))), ""))), "")</f>
        <v/>
      </c>
      <c r="E28" s="130" t="str">
        <f>IF(IFERROR(INDEX(Bills1[Amount],ROWS($B$1:$B27)),IFERROR(INDEX(Bills2[Amount],(ROWS($B$1:$B27)-ROWS(Bills1[Amount]))),))&gt;0,-IFERROR(INDEX(Bills1[Amount],ROWS($B$1:$B27)),IFERROR(INDEX(Bills2[Amount],(ROWS($B$1:$B27)-ROWS(Bills1[Amount]))),)), "")</f>
        <v/>
      </c>
      <c r="G28" s="129" t="str">
        <f ca="1">IF(ISNUMBER(bills_curr_plus2[[#This Row],[bills]]), IF(OR(MONTH($D$2)=12, YEAR($D$2)=YEAR(TODAY())+1), IFERROR(MONTH($D$2+32)&amp;"/"&amp;INDEX(Bills1[Date &lt;d&gt;], ROWS($B$1:$B27))&amp;"/"&amp;$C$51, IFERROR(MONTH($D$2+32)&amp;"/"&amp;INDEX(DAY(Bills2[Date &lt;d&gt;]), (ROWS($B$1:$B27)-ROWS(Bills1[Date &lt;d&gt;])))&amp;"/"&amp;$C$51, "")), IFERROR(MONTH($D$2+32)&amp;"/"&amp;INDEX(Bills1[Date &lt;d&gt;], ROWS($B$1:$B27)), IFERROR(MONTH($D$2+32)&amp;"/"&amp;INDEX(DAY(Bills2[Date &lt;d&gt;]), (ROWS($B$1:$B27)-ROWS(Bills1[Date &lt;d&gt;]))), ""))), "")</f>
        <v/>
      </c>
      <c r="H28" s="130" t="str">
        <f>IF(IFERROR(INDEX(Bills1[Amount],ROWS($B$1:$B27)),IFERROR(INDEX(Bills2[Amount],(ROWS($B$1:$B27)-ROWS(Bills1[Amount]))),))&gt;0,-IFERROR(INDEX(Bills1[Amount],ROWS($B$1:$B27)),IFERROR(INDEX(Bills2[Amount],(ROWS($B$1:$B27)-ROWS(Bills1[Amount]))),)), "")</f>
        <v/>
      </c>
      <c r="J28" s="129" t="str">
        <f ca="1">IF(ISNUMBER(bills_curr_plus3[[#This Row],[bills]]), IF(OR(MONTH($G$2)=12, YEAR($G$2)=YEAR(TODAY())+1), IFERROR(MONTH($G$2+32)&amp;"/"&amp;INDEX(Bills1[Date &lt;d&gt;], ROWS($B$1:$B27))&amp;"/"&amp;$C$51, IFERROR(MONTH($G$2+32)&amp;"/"&amp;INDEX(DAY(Bills2[Date &lt;d&gt;]), (ROWS($B$1:$B27)-ROWS(Bills1[Date &lt;d&gt;])))&amp;"/"&amp;$C$51, "")), IFERROR(MONTH($G$2+32)&amp;"/"&amp;INDEX(Bills1[Date &lt;d&gt;], ROWS($B$1:$B27)), IFERROR(MONTH($G$2+32)&amp;"/"&amp;INDEX(DAY(Bills2[Date &lt;d&gt;]), (ROWS($B$1:$B27)-ROWS(Bills1[Date &lt;d&gt;]))), ""))), "")</f>
        <v/>
      </c>
      <c r="K28" s="130" t="str">
        <f>IF(IFERROR(INDEX(Bills1[Amount],ROWS($B$1:$B27)),IFERROR(INDEX(Bills2[Amount],(ROWS($B$1:$B27)-ROWS(Bills1[Amount]))),))&gt;0,-IFERROR(INDEX(Bills1[Amount],ROWS($B$1:$B27)),IFERROR(INDEX(Bills2[Amount],(ROWS($B$1:$B27)-ROWS(Bills1[Amount]))),)), "")</f>
        <v/>
      </c>
      <c r="M28" s="129" t="str">
        <f ca="1">IF(ISNUMBER(bills_curr_plus4[[#This Row],[bills]]), IF(OR(MONTH($J$2)=12, YEAR($J$2)=YEAR(TODAY())+1), IFERROR(MONTH($J$2+32)&amp;"/"&amp;INDEX(Bills1[Date &lt;d&gt;], ROWS($B$1:$B27))&amp;"/"&amp;$C$51, IFERROR(MONTH($J$2+32)&amp;"/"&amp;INDEX(DAY(Bills2[Date &lt;d&gt;]), (ROWS($B$1:$B27)-ROWS(Bills1[Date &lt;d&gt;])))&amp;"/"&amp;$C$51, "")), IFERROR(MONTH($J$2+32)&amp;"/"&amp;INDEX(Bills1[Date &lt;d&gt;], ROWS($B$1:$B27)), IFERROR(MONTH($J$2+32)&amp;"/"&amp;INDEX(DAY(Bills2[Date &lt;d&gt;]), (ROWS($B$1:$B27)-ROWS(Bills1[Date &lt;d&gt;]))), ""))), "")</f>
        <v/>
      </c>
      <c r="N28" s="130" t="str">
        <f>IF(IFERROR(INDEX(Bills1[Amount],ROWS($B$1:$B27)),IFERROR(INDEX(Bills2[Amount],(ROWS($B$1:$B27)-ROWS(Bills1[Amount]))),))&gt;0,-IFERROR(INDEX(Bills1[Amount],ROWS($B$1:$B27)),IFERROR(INDEX(Bills2[Amount],(ROWS($B$1:$B27)-ROWS(Bills1[Amount]))),)), "")</f>
        <v/>
      </c>
      <c r="P28" s="129" t="str">
        <f ca="1">IF(ISNUMBER(bills_curr_plus5[[#This Row],[bills]]), IF(OR(MONTH($M$2)=12, YEAR($M$2)=YEAR(TODAY())+1), IFERROR(MONTH($M$2+32)&amp;"/"&amp;INDEX(Bills1[Date &lt;d&gt;], ROWS($B$1:$B27))&amp;"/"&amp;$C$51, IFERROR(MONTH($M$2+32)&amp;"/"&amp;INDEX(DAY(Bills2[Date &lt;d&gt;]), (ROWS($B$1:$B27)-ROWS(Bills1[Date &lt;d&gt;])))&amp;"/"&amp;$C$51, "")), IFERROR(MONTH($M$2+32)&amp;"/"&amp;INDEX(Bills1[Date &lt;d&gt;], ROWS($B$1:$B27)), IFERROR(MONTH($M$2+32)&amp;"/"&amp;INDEX(DAY(Bills2[Date &lt;d&gt;]), (ROWS($B$1:$B27)-ROWS(Bills1[Date &lt;d&gt;]))), ""))), "")</f>
        <v/>
      </c>
      <c r="Q28" s="130" t="str">
        <f>IF(IFERROR(INDEX(Bills1[Amount],ROWS($B$1:$B27)),IFERROR(INDEX(Bills2[Amount],(ROWS($B$1:$B27)-ROWS(Bills1[Amount]))),))&gt;0,-IFERROR(INDEX(Bills1[Amount],ROWS($B$1:$B27)),IFERROR(INDEX(Bills2[Amount],(ROWS($B$1:$B27)-ROWS(Bills1[Amount]))),)), "")</f>
        <v/>
      </c>
      <c r="R28" s="130"/>
      <c r="S28" s="129" t="str">
        <f ca="1">IF(ISNUMBER(bills_curr_plus6[[#This Row],[bills]]),
IF(OR(MONTH($P$2)=12, YEAR($P$2)=YEAR(TODAY())+1),
IFERROR(MONTH($P$2+32)&amp;"/"&amp;INDEX(Bills1[Date &lt;d&gt;], ROWS($B$1:$B27))&amp;"/"&amp;$C$51,
IFERROR(MONTH($P$2+32)&amp;"/"&amp;INDEX(DAY(Bills2[Date &lt;d&gt;]), (ROWS($B$1:$B27)-ROWS(Bills1[Date &lt;d&gt;])))&amp;"/"&amp;$C$51, "")),
IFERROR(MONTH($P$2+32)&amp;"/"&amp;INDEX(Bills1[Date &lt;d&gt;], ROWS($B$1:$B27)),
IFERROR(MONTH($P$2+32)&amp;"/"&amp;INDEX(DAY(Bills2[Date &lt;d&gt;]), (ROWS($B$1:$B27)-ROWS(Bills1[Date &lt;d&gt;]))), ""))), "")</f>
        <v/>
      </c>
      <c r="T28" s="130" t="str">
        <f>IF(IFERROR(INDEX(Bills1[Amount],ROWS($B$1:$B27)),
IFERROR(INDEX(Bills2[Amount],(ROWS($B$1:$B27)-ROWS(Bills1[Amount]))),))&gt;0,
-IFERROR(INDEX(Bills1[Amount],ROWS($B$1:$B27)),
IFERROR(INDEX(Bills2[Amount],(ROWS($B$1:$B27)-ROWS(Bills1[Amount]))),)), "")</f>
        <v/>
      </c>
      <c r="V28" s="129">
        <v>43796</v>
      </c>
      <c r="W28" s="1">
        <f>DAY(income_future[[#This Row],[dates]])</f>
        <v>27</v>
      </c>
      <c r="X28" s="130">
        <f ca="1">SUMIF(income_curr[mod( )], MOD(V28, 14), income_curr[income])</f>
        <v>0</v>
      </c>
      <c r="Z28" s="132" t="str">
        <f ca="1">IF(TEXT(Table10[[#This Row],[dates]], "ddd")="Mon", 999999999, "")</f>
        <v/>
      </c>
      <c r="AA28" s="132" t="str">
        <f ca="1">IF(TODAY()=Table10[[#This Row],[dates]], TEXT(DATE(2019, MONTH(Table10[[#This Row],[dates]]), 1), "mmm"), IFERROR(IF(MONTH(Table10[[#This Row],[dates]])&lt;&gt;MONTH(AC27), TEXT(DATE(2019, MONTH(Table10[[#This Row],[dates]]), 1), "mmm"), ""), ""))</f>
        <v/>
      </c>
      <c r="AB28" s="133">
        <f ca="1">DAY('Data Preparation'!$AC28)</f>
        <v>6</v>
      </c>
      <c r="AC28" s="143">
        <f t="shared" ca="1" si="0"/>
        <v>43805</v>
      </c>
      <c r="AD28"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8" s="136">
        <f ca="1">IFERROR(
IF(MONTH(Table10[[#This Row],[dates]])&lt;&gt;MONTH($AC27), Table10[[#This Row],[delta $]]+AE27-SUM(Bills3[Amount]), N("deducts other bills at the end of each month")+
IF(Table10[[#This Row],[delta $]]&lt;&gt;0, Table10[[#This Row],[delta $]]+AE27,
AE27)),
"")</f>
        <v>2568</v>
      </c>
      <c r="AF28" s="136">
        <f ca="1">Table10[[#This Row],[sum per date]]-IF(MONTH(Table10[[#This Row],[dates]])=MONTH(TODAY()),
SUMIF(Bills3[Paid?], "&lt;&gt;Y", Bills3[Amount]), SUM(Bills3[Amount]))</f>
        <v>1948</v>
      </c>
      <c r="AG28" s="136" t="e">
        <f ca="1">IF(AND(
Table10[[#This Row],[fluctuation]]=MIN(INDEX(Table10[fluctuation], MATCH(TODAY(),Table10[dates], 0)):INDEX(Table10[fluctuation], MATCH(end_date,Table10[dates], 0))),
OR(ISNA(INDEX($AF$2:AF27, MATCH(Table10[[#This Row],[fluctuation]], $AF$2:AF27, 0))), ROW(AG28)=2)),
Table10[[#This Row],[fluctuation]],
NA())</f>
        <v>#N/A</v>
      </c>
    </row>
    <row r="29" spans="1:38" x14ac:dyDescent="0.25">
      <c r="A29" s="129" t="str">
        <f ca="1">IF(ISNUMBER(bills_curr_mo[[#This Row],[bills]]), IFERROR(MONTH(TODAY())&amp;"/"&amp;INDEX(Bills1[Date &lt;d&gt;], ROWS(B$1:$B28)), IFERROR(MONTH(TODAY())&amp;"/"&amp;INDEX(DAY(Bills2[Date &lt;d&gt;]), (ROWS(B$1:$B28)-ROWS(Bills1[Date &lt;d&gt;]))), "")), "")</f>
        <v/>
      </c>
      <c r="B29" s="130" t="str">
        <f>IF(IFERROR(INDEX(Bills1[Amount],ROWS($B$1:$B28)),IFERROR(INDEX(Bills2[Amount],(ROWS($B$1:$B28)-ROWS(Bills1[Amount]))),))&gt;0,-IFERROR(INDEX(Bills1[Amount],ROWS($B$1:$B28)),IFERROR(INDEX(Bills2[Amount],(ROWS($B$1:$B28)-ROWS(Bills1[Amount]))),)), "")</f>
        <v/>
      </c>
      <c r="D29" s="129" t="str">
        <f ca="1">IF(ISNUMBER(bills_curr_plus1[[#This Row],[bills]]), IF(OR(MONTH($A$2)=12, YEAR($A$2)=YEAR(TODAY())+1), IFERROR(MONTH($A$2+32)&amp;"/"&amp;INDEX(Bills1[Date &lt;d&gt;], ROWS($B$1:$B28))&amp;"/"&amp;$C$51, IFERROR(MONTH($A$2+32)&amp;"/"&amp;INDEX(DAY(Bills2[Date &lt;d&gt;]), (ROWS($B$1:$B28)-ROWS(Bills1[Date &lt;d&gt;])))&amp;"/"&amp;$C$51, "")), IFERROR(MONTH($A$2+32)&amp;"/"&amp;INDEX(Bills1[Date &lt;d&gt;], ROWS($B$1:$B28)), IFERROR(MONTH($A$2+32)&amp;"/"&amp;INDEX(DAY(Bills2[Date &lt;d&gt;]), (ROWS($B$1:$B28)-ROWS(Bills1[Date &lt;d&gt;]))), ""))), "")</f>
        <v/>
      </c>
      <c r="E29" s="130" t="str">
        <f>IF(IFERROR(INDEX(Bills1[Amount],ROWS($B$1:$B28)),IFERROR(INDEX(Bills2[Amount],(ROWS($B$1:$B28)-ROWS(Bills1[Amount]))),))&gt;0,-IFERROR(INDEX(Bills1[Amount],ROWS($B$1:$B28)),IFERROR(INDEX(Bills2[Amount],(ROWS($B$1:$B28)-ROWS(Bills1[Amount]))),)), "")</f>
        <v/>
      </c>
      <c r="G29" s="129" t="str">
        <f ca="1">IF(ISNUMBER(bills_curr_plus2[[#This Row],[bills]]), IF(OR(MONTH($D$2)=12, YEAR($D$2)=YEAR(TODAY())+1), IFERROR(MONTH($D$2+32)&amp;"/"&amp;INDEX(Bills1[Date &lt;d&gt;], ROWS($B$1:$B28))&amp;"/"&amp;$C$51, IFERROR(MONTH($D$2+32)&amp;"/"&amp;INDEX(DAY(Bills2[Date &lt;d&gt;]), (ROWS($B$1:$B28)-ROWS(Bills1[Date &lt;d&gt;])))&amp;"/"&amp;$C$51, "")), IFERROR(MONTH($D$2+32)&amp;"/"&amp;INDEX(Bills1[Date &lt;d&gt;], ROWS($B$1:$B28)), IFERROR(MONTH($D$2+32)&amp;"/"&amp;INDEX(DAY(Bills2[Date &lt;d&gt;]), (ROWS($B$1:$B28)-ROWS(Bills1[Date &lt;d&gt;]))), ""))), "")</f>
        <v/>
      </c>
      <c r="H29" s="130" t="str">
        <f>IF(IFERROR(INDEX(Bills1[Amount],ROWS($B$1:$B28)),IFERROR(INDEX(Bills2[Amount],(ROWS($B$1:$B28)-ROWS(Bills1[Amount]))),))&gt;0,-IFERROR(INDEX(Bills1[Amount],ROWS($B$1:$B28)),IFERROR(INDEX(Bills2[Amount],(ROWS($B$1:$B28)-ROWS(Bills1[Amount]))),)), "")</f>
        <v/>
      </c>
      <c r="J29" s="129" t="str">
        <f ca="1">IF(ISNUMBER(bills_curr_plus3[[#This Row],[bills]]), IF(OR(MONTH($G$2)=12, YEAR($G$2)=YEAR(TODAY())+1), IFERROR(MONTH($G$2+32)&amp;"/"&amp;INDEX(Bills1[Date &lt;d&gt;], ROWS($B$1:$B28))&amp;"/"&amp;$C$51, IFERROR(MONTH($G$2+32)&amp;"/"&amp;INDEX(DAY(Bills2[Date &lt;d&gt;]), (ROWS($B$1:$B28)-ROWS(Bills1[Date &lt;d&gt;])))&amp;"/"&amp;$C$51, "")), IFERROR(MONTH($G$2+32)&amp;"/"&amp;INDEX(Bills1[Date &lt;d&gt;], ROWS($B$1:$B28)), IFERROR(MONTH($G$2+32)&amp;"/"&amp;INDEX(DAY(Bills2[Date &lt;d&gt;]), (ROWS($B$1:$B28)-ROWS(Bills1[Date &lt;d&gt;]))), ""))), "")</f>
        <v/>
      </c>
      <c r="K29" s="130" t="str">
        <f>IF(IFERROR(INDEX(Bills1[Amount],ROWS($B$1:$B28)),IFERROR(INDEX(Bills2[Amount],(ROWS($B$1:$B28)-ROWS(Bills1[Amount]))),))&gt;0,-IFERROR(INDEX(Bills1[Amount],ROWS($B$1:$B28)),IFERROR(INDEX(Bills2[Amount],(ROWS($B$1:$B28)-ROWS(Bills1[Amount]))),)), "")</f>
        <v/>
      </c>
      <c r="M29" s="129" t="str">
        <f ca="1">IF(ISNUMBER(bills_curr_plus4[[#This Row],[bills]]), IF(OR(MONTH($J$2)=12, YEAR($J$2)=YEAR(TODAY())+1), IFERROR(MONTH($J$2+32)&amp;"/"&amp;INDEX(Bills1[Date &lt;d&gt;], ROWS($B$1:$B28))&amp;"/"&amp;$C$51, IFERROR(MONTH($J$2+32)&amp;"/"&amp;INDEX(DAY(Bills2[Date &lt;d&gt;]), (ROWS($B$1:$B28)-ROWS(Bills1[Date &lt;d&gt;])))&amp;"/"&amp;$C$51, "")), IFERROR(MONTH($J$2+32)&amp;"/"&amp;INDEX(Bills1[Date &lt;d&gt;], ROWS($B$1:$B28)), IFERROR(MONTH($J$2+32)&amp;"/"&amp;INDEX(DAY(Bills2[Date &lt;d&gt;]), (ROWS($B$1:$B28)-ROWS(Bills1[Date &lt;d&gt;]))), ""))), "")</f>
        <v/>
      </c>
      <c r="N29" s="130" t="str">
        <f>IF(IFERROR(INDEX(Bills1[Amount],ROWS($B$1:$B28)),IFERROR(INDEX(Bills2[Amount],(ROWS($B$1:$B28)-ROWS(Bills1[Amount]))),))&gt;0,-IFERROR(INDEX(Bills1[Amount],ROWS($B$1:$B28)),IFERROR(INDEX(Bills2[Amount],(ROWS($B$1:$B28)-ROWS(Bills1[Amount]))),)), "")</f>
        <v/>
      </c>
      <c r="P29" s="129" t="str">
        <f ca="1">IF(ISNUMBER(bills_curr_plus5[[#This Row],[bills]]), IF(OR(MONTH($M$2)=12, YEAR($M$2)=YEAR(TODAY())+1), IFERROR(MONTH($M$2+32)&amp;"/"&amp;INDEX(Bills1[Date &lt;d&gt;], ROWS($B$1:$B28))&amp;"/"&amp;$C$51, IFERROR(MONTH($M$2+32)&amp;"/"&amp;INDEX(DAY(Bills2[Date &lt;d&gt;]), (ROWS($B$1:$B28)-ROWS(Bills1[Date &lt;d&gt;])))&amp;"/"&amp;$C$51, "")), IFERROR(MONTH($M$2+32)&amp;"/"&amp;INDEX(Bills1[Date &lt;d&gt;], ROWS($B$1:$B28)), IFERROR(MONTH($M$2+32)&amp;"/"&amp;INDEX(DAY(Bills2[Date &lt;d&gt;]), (ROWS($B$1:$B28)-ROWS(Bills1[Date &lt;d&gt;]))), ""))), "")</f>
        <v/>
      </c>
      <c r="Q29" s="130" t="str">
        <f>IF(IFERROR(INDEX(Bills1[Amount],ROWS($B$1:$B28)),IFERROR(INDEX(Bills2[Amount],(ROWS($B$1:$B28)-ROWS(Bills1[Amount]))),))&gt;0,-IFERROR(INDEX(Bills1[Amount],ROWS($B$1:$B28)),IFERROR(INDEX(Bills2[Amount],(ROWS($B$1:$B28)-ROWS(Bills1[Amount]))),)), "")</f>
        <v/>
      </c>
      <c r="R29" s="130"/>
      <c r="S29" s="129" t="str">
        <f ca="1">IF(ISNUMBER(bills_curr_plus6[[#This Row],[bills]]),
IF(OR(MONTH($P$2)=12, YEAR($P$2)=YEAR(TODAY())+1),
IFERROR(MONTH($P$2+32)&amp;"/"&amp;INDEX(Bills1[Date &lt;d&gt;], ROWS($B$1:$B28))&amp;"/"&amp;$C$51,
IFERROR(MONTH($P$2+32)&amp;"/"&amp;INDEX(DAY(Bills2[Date &lt;d&gt;]), (ROWS($B$1:$B28)-ROWS(Bills1[Date &lt;d&gt;])))&amp;"/"&amp;$C$51, "")),
IFERROR(MONTH($P$2+32)&amp;"/"&amp;INDEX(Bills1[Date &lt;d&gt;], ROWS($B$1:$B28)),
IFERROR(MONTH($P$2+32)&amp;"/"&amp;INDEX(DAY(Bills2[Date &lt;d&gt;]), (ROWS($B$1:$B28)-ROWS(Bills1[Date &lt;d&gt;]))), ""))), "")</f>
        <v/>
      </c>
      <c r="T29" s="130" t="str">
        <f>IF(IFERROR(INDEX(Bills1[Amount],ROWS($B$1:$B28)),
IFERROR(INDEX(Bills2[Amount],(ROWS($B$1:$B28)-ROWS(Bills1[Amount]))),))&gt;0,
-IFERROR(INDEX(Bills1[Amount],ROWS($B$1:$B28)),
IFERROR(INDEX(Bills2[Amount],(ROWS($B$1:$B28)-ROWS(Bills1[Amount]))),)), "")</f>
        <v/>
      </c>
      <c r="V29" s="129">
        <v>43797</v>
      </c>
      <c r="W29" s="1">
        <f>DAY(income_future[[#This Row],[dates]])</f>
        <v>28</v>
      </c>
      <c r="X29" s="130">
        <f ca="1">SUMIF(income_curr[mod( )], MOD(V29, 14), income_curr[income])</f>
        <v>0</v>
      </c>
      <c r="Z29" s="132" t="str">
        <f ca="1">IF(TEXT(Table10[[#This Row],[dates]], "ddd")="Mon", 999999999, "")</f>
        <v/>
      </c>
      <c r="AA29" s="132" t="str">
        <f ca="1">IF(TODAY()=Table10[[#This Row],[dates]], TEXT(DATE(2019, MONTH(Table10[[#This Row],[dates]]), 1), "mmm"), IFERROR(IF(MONTH(Table10[[#This Row],[dates]])&lt;&gt;MONTH(AC28), TEXT(DATE(2019, MONTH(Table10[[#This Row],[dates]]), 1), "mmm"), ""), ""))</f>
        <v/>
      </c>
      <c r="AB29" s="133">
        <f ca="1">DAY('Data Preparation'!$AC29)</f>
        <v>7</v>
      </c>
      <c r="AC29" s="143">
        <f t="shared" ca="1" si="0"/>
        <v>43806</v>
      </c>
      <c r="AD29"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29" s="136">
        <f ca="1">IFERROR(
IF(MONTH(Table10[[#This Row],[dates]])&lt;&gt;MONTH($AC28), Table10[[#This Row],[delta $]]+AE28-SUM(Bills3[Amount]), N("deducts other bills at the end of each month")+
IF(Table10[[#This Row],[delta $]]&lt;&gt;0, Table10[[#This Row],[delta $]]+AE28,
AE28)),
"")</f>
        <v>2568</v>
      </c>
      <c r="AF29" s="136">
        <f ca="1">Table10[[#This Row],[sum per date]]-IF(MONTH(Table10[[#This Row],[dates]])=MONTH(TODAY()),
SUMIF(Bills3[Paid?], "&lt;&gt;Y", Bills3[Amount]), SUM(Bills3[Amount]))</f>
        <v>1948</v>
      </c>
      <c r="AG29" s="136" t="e">
        <f ca="1">IF(AND(
Table10[[#This Row],[fluctuation]]=MIN(INDEX(Table10[fluctuation], MATCH(TODAY(),Table10[dates], 0)):INDEX(Table10[fluctuation], MATCH(end_date,Table10[dates], 0))),
OR(ISNA(INDEX($AF$2:AF28, MATCH(Table10[[#This Row],[fluctuation]], $AF$2:AF28, 0))), ROW(AG29)=2)),
Table10[[#This Row],[fluctuation]],
NA())</f>
        <v>#N/A</v>
      </c>
    </row>
    <row r="30" spans="1:38" x14ac:dyDescent="0.25">
      <c r="A30" s="129" t="str">
        <f ca="1">IF(ISNUMBER(bills_curr_mo[[#This Row],[bills]]), IFERROR(MONTH(TODAY())&amp;"/"&amp;INDEX(Bills1[Date &lt;d&gt;], ROWS(B$1:$B29)), IFERROR(MONTH(TODAY())&amp;"/"&amp;INDEX(DAY(Bills2[Date &lt;d&gt;]), (ROWS(B$1:$B29)-ROWS(Bills1[Date &lt;d&gt;]))), "")), "")</f>
        <v/>
      </c>
      <c r="B30" s="130" t="str">
        <f>IF(IFERROR(INDEX(Bills1[Amount],ROWS($B$1:$B29)),IFERROR(INDEX(Bills2[Amount],(ROWS($B$1:$B29)-ROWS(Bills1[Amount]))),))&gt;0,-IFERROR(INDEX(Bills1[Amount],ROWS($B$1:$B29)),IFERROR(INDEX(Bills2[Amount],(ROWS($B$1:$B29)-ROWS(Bills1[Amount]))),)), "")</f>
        <v/>
      </c>
      <c r="D30" s="129" t="str">
        <f ca="1">IF(ISNUMBER(bills_curr_plus1[[#This Row],[bills]]), IF(OR(MONTH($A$2)=12, YEAR($A$2)=YEAR(TODAY())+1), IFERROR(MONTH($A$2+32)&amp;"/"&amp;INDEX(Bills1[Date &lt;d&gt;], ROWS($B$1:$B29))&amp;"/"&amp;$C$51, IFERROR(MONTH($A$2+32)&amp;"/"&amp;INDEX(DAY(Bills2[Date &lt;d&gt;]), (ROWS($B$1:$B29)-ROWS(Bills1[Date &lt;d&gt;])))&amp;"/"&amp;$C$51, "")), IFERROR(MONTH($A$2+32)&amp;"/"&amp;INDEX(Bills1[Date &lt;d&gt;], ROWS($B$1:$B29)), IFERROR(MONTH($A$2+32)&amp;"/"&amp;INDEX(DAY(Bills2[Date &lt;d&gt;]), (ROWS($B$1:$B29)-ROWS(Bills1[Date &lt;d&gt;]))), ""))), "")</f>
        <v/>
      </c>
      <c r="E30" s="130" t="str">
        <f>IF(IFERROR(INDEX(Bills1[Amount],ROWS($B$1:$B29)),IFERROR(INDEX(Bills2[Amount],(ROWS($B$1:$B29)-ROWS(Bills1[Amount]))),))&gt;0,-IFERROR(INDEX(Bills1[Amount],ROWS($B$1:$B29)),IFERROR(INDEX(Bills2[Amount],(ROWS($B$1:$B29)-ROWS(Bills1[Amount]))),)), "")</f>
        <v/>
      </c>
      <c r="G30" s="129" t="str">
        <f ca="1">IF(ISNUMBER(bills_curr_plus2[[#This Row],[bills]]), IF(OR(MONTH($D$2)=12, YEAR($D$2)=YEAR(TODAY())+1), IFERROR(MONTH($D$2+32)&amp;"/"&amp;INDEX(Bills1[Date &lt;d&gt;], ROWS($B$1:$B29))&amp;"/"&amp;$C$51, IFERROR(MONTH($D$2+32)&amp;"/"&amp;INDEX(DAY(Bills2[Date &lt;d&gt;]), (ROWS($B$1:$B29)-ROWS(Bills1[Date &lt;d&gt;])))&amp;"/"&amp;$C$51, "")), IFERROR(MONTH($D$2+32)&amp;"/"&amp;INDEX(Bills1[Date &lt;d&gt;], ROWS($B$1:$B29)), IFERROR(MONTH($D$2+32)&amp;"/"&amp;INDEX(DAY(Bills2[Date &lt;d&gt;]), (ROWS($B$1:$B29)-ROWS(Bills1[Date &lt;d&gt;]))), ""))), "")</f>
        <v/>
      </c>
      <c r="H30" s="130" t="str">
        <f>IF(IFERROR(INDEX(Bills1[Amount],ROWS($B$1:$B29)),IFERROR(INDEX(Bills2[Amount],(ROWS($B$1:$B29)-ROWS(Bills1[Amount]))),))&gt;0,-IFERROR(INDEX(Bills1[Amount],ROWS($B$1:$B29)),IFERROR(INDEX(Bills2[Amount],(ROWS($B$1:$B29)-ROWS(Bills1[Amount]))),)), "")</f>
        <v/>
      </c>
      <c r="J30" s="129" t="str">
        <f ca="1">IF(ISNUMBER(bills_curr_plus3[[#This Row],[bills]]), IF(OR(MONTH($G$2)=12, YEAR($G$2)=YEAR(TODAY())+1), IFERROR(MONTH($G$2+32)&amp;"/"&amp;INDEX(Bills1[Date &lt;d&gt;], ROWS($B$1:$B29))&amp;"/"&amp;$C$51, IFERROR(MONTH($G$2+32)&amp;"/"&amp;INDEX(DAY(Bills2[Date &lt;d&gt;]), (ROWS($B$1:$B29)-ROWS(Bills1[Date &lt;d&gt;])))&amp;"/"&amp;$C$51, "")), IFERROR(MONTH($G$2+32)&amp;"/"&amp;INDEX(Bills1[Date &lt;d&gt;], ROWS($B$1:$B29)), IFERROR(MONTH($G$2+32)&amp;"/"&amp;INDEX(DAY(Bills2[Date &lt;d&gt;]), (ROWS($B$1:$B29)-ROWS(Bills1[Date &lt;d&gt;]))), ""))), "")</f>
        <v/>
      </c>
      <c r="K30" s="130" t="str">
        <f>IF(IFERROR(INDEX(Bills1[Amount],ROWS($B$1:$B29)),IFERROR(INDEX(Bills2[Amount],(ROWS($B$1:$B29)-ROWS(Bills1[Amount]))),))&gt;0,-IFERROR(INDEX(Bills1[Amount],ROWS($B$1:$B29)),IFERROR(INDEX(Bills2[Amount],(ROWS($B$1:$B29)-ROWS(Bills1[Amount]))),)), "")</f>
        <v/>
      </c>
      <c r="M30" s="129" t="str">
        <f ca="1">IF(ISNUMBER(bills_curr_plus4[[#This Row],[bills]]), IF(OR(MONTH($J$2)=12, YEAR($J$2)=YEAR(TODAY())+1), IFERROR(MONTH($J$2+32)&amp;"/"&amp;INDEX(Bills1[Date &lt;d&gt;], ROWS($B$1:$B29))&amp;"/"&amp;$C$51, IFERROR(MONTH($J$2+32)&amp;"/"&amp;INDEX(DAY(Bills2[Date &lt;d&gt;]), (ROWS($B$1:$B29)-ROWS(Bills1[Date &lt;d&gt;])))&amp;"/"&amp;$C$51, "")), IFERROR(MONTH($J$2+32)&amp;"/"&amp;INDEX(Bills1[Date &lt;d&gt;], ROWS($B$1:$B29)), IFERROR(MONTH($J$2+32)&amp;"/"&amp;INDEX(DAY(Bills2[Date &lt;d&gt;]), (ROWS($B$1:$B29)-ROWS(Bills1[Date &lt;d&gt;]))), ""))), "")</f>
        <v/>
      </c>
      <c r="N30" s="130" t="str">
        <f>IF(IFERROR(INDEX(Bills1[Amount],ROWS($B$1:$B29)),IFERROR(INDEX(Bills2[Amount],(ROWS($B$1:$B29)-ROWS(Bills1[Amount]))),))&gt;0,-IFERROR(INDEX(Bills1[Amount],ROWS($B$1:$B29)),IFERROR(INDEX(Bills2[Amount],(ROWS($B$1:$B29)-ROWS(Bills1[Amount]))),)), "")</f>
        <v/>
      </c>
      <c r="P30" s="129" t="str">
        <f ca="1">IF(ISNUMBER(bills_curr_plus5[[#This Row],[bills]]), IF(OR(MONTH($M$2)=12, YEAR($M$2)=YEAR(TODAY())+1), IFERROR(MONTH($M$2+32)&amp;"/"&amp;INDEX(Bills1[Date &lt;d&gt;], ROWS($B$1:$B29))&amp;"/"&amp;$C$51, IFERROR(MONTH($M$2+32)&amp;"/"&amp;INDEX(DAY(Bills2[Date &lt;d&gt;]), (ROWS($B$1:$B29)-ROWS(Bills1[Date &lt;d&gt;])))&amp;"/"&amp;$C$51, "")), IFERROR(MONTH($M$2+32)&amp;"/"&amp;INDEX(Bills1[Date &lt;d&gt;], ROWS($B$1:$B29)), IFERROR(MONTH($M$2+32)&amp;"/"&amp;INDEX(DAY(Bills2[Date &lt;d&gt;]), (ROWS($B$1:$B29)-ROWS(Bills1[Date &lt;d&gt;]))), ""))), "")</f>
        <v/>
      </c>
      <c r="Q30" s="130" t="str">
        <f>IF(IFERROR(INDEX(Bills1[Amount],ROWS($B$1:$B29)),IFERROR(INDEX(Bills2[Amount],(ROWS($B$1:$B29)-ROWS(Bills1[Amount]))),))&gt;0,-IFERROR(INDEX(Bills1[Amount],ROWS($B$1:$B29)),IFERROR(INDEX(Bills2[Amount],(ROWS($B$1:$B29)-ROWS(Bills1[Amount]))),)), "")</f>
        <v/>
      </c>
      <c r="R30" s="130"/>
      <c r="S30" s="129" t="str">
        <f ca="1">IF(ISNUMBER(bills_curr_plus6[[#This Row],[bills]]),
IF(OR(MONTH($P$2)=12, YEAR($P$2)=YEAR(TODAY())+1),
IFERROR(MONTH($P$2+32)&amp;"/"&amp;INDEX(Bills1[Date &lt;d&gt;], ROWS($B$1:$B29))&amp;"/"&amp;$C$51,
IFERROR(MONTH($P$2+32)&amp;"/"&amp;INDEX(DAY(Bills2[Date &lt;d&gt;]), (ROWS($B$1:$B29)-ROWS(Bills1[Date &lt;d&gt;])))&amp;"/"&amp;$C$51, "")),
IFERROR(MONTH($P$2+32)&amp;"/"&amp;INDEX(Bills1[Date &lt;d&gt;], ROWS($B$1:$B29)),
IFERROR(MONTH($P$2+32)&amp;"/"&amp;INDEX(DAY(Bills2[Date &lt;d&gt;]), (ROWS($B$1:$B29)-ROWS(Bills1[Date &lt;d&gt;]))), ""))), "")</f>
        <v/>
      </c>
      <c r="T30" s="130" t="str">
        <f>IF(IFERROR(INDEX(Bills1[Amount],ROWS($B$1:$B29)),
IFERROR(INDEX(Bills2[Amount],(ROWS($B$1:$B29)-ROWS(Bills1[Amount]))),))&gt;0,
-IFERROR(INDEX(Bills1[Amount],ROWS($B$1:$B29)),
IFERROR(INDEX(Bills2[Amount],(ROWS($B$1:$B29)-ROWS(Bills1[Amount]))),)), "")</f>
        <v/>
      </c>
      <c r="V30" s="129">
        <v>43798</v>
      </c>
      <c r="W30" s="1">
        <f>DAY(income_future[[#This Row],[dates]])</f>
        <v>29</v>
      </c>
      <c r="X30" s="130">
        <f ca="1">SUMIF(income_curr[mod( )], MOD(V30, 14), income_curr[income])</f>
        <v>0</v>
      </c>
      <c r="Z30" s="132" t="str">
        <f ca="1">IF(TEXT(Table10[[#This Row],[dates]], "ddd")="Mon", 999999999, "")</f>
        <v/>
      </c>
      <c r="AA30" s="132" t="str">
        <f ca="1">IF(TODAY()=Table10[[#This Row],[dates]], TEXT(DATE(2019, MONTH(Table10[[#This Row],[dates]]), 1), "mmm"), IFERROR(IF(MONTH(Table10[[#This Row],[dates]])&lt;&gt;MONTH(AC29), TEXT(DATE(2019, MONTH(Table10[[#This Row],[dates]]), 1), "mmm"), ""), ""))</f>
        <v/>
      </c>
      <c r="AB30" s="133">
        <f ca="1">DAY('Data Preparation'!$AC30)</f>
        <v>8</v>
      </c>
      <c r="AC30" s="143">
        <f t="shared" ca="1" si="0"/>
        <v>43807</v>
      </c>
      <c r="AD30"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0" s="136">
        <f ca="1">IFERROR(
IF(MONTH(Table10[[#This Row],[dates]])&lt;&gt;MONTH($AC29), Table10[[#This Row],[delta $]]+AE29-SUM(Bills3[Amount]), N("deducts other bills at the end of each month")+
IF(Table10[[#This Row],[delta $]]&lt;&gt;0, Table10[[#This Row],[delta $]]+AE29,
AE29)),
"")</f>
        <v>2568</v>
      </c>
      <c r="AF30" s="136">
        <f ca="1">Table10[[#This Row],[sum per date]]-IF(MONTH(Table10[[#This Row],[dates]])=MONTH(TODAY()),
SUMIF(Bills3[Paid?], "&lt;&gt;Y", Bills3[Amount]), SUM(Bills3[Amount]))</f>
        <v>1948</v>
      </c>
      <c r="AG30" s="136" t="e">
        <f ca="1">IF(AND(
Table10[[#This Row],[fluctuation]]=MIN(INDEX(Table10[fluctuation], MATCH(TODAY(),Table10[dates], 0)):INDEX(Table10[fluctuation], MATCH(end_date,Table10[dates], 0))),
OR(ISNA(INDEX($AF$2:AF29, MATCH(Table10[[#This Row],[fluctuation]], $AF$2:AF29, 0))), ROW(AG30)=2)),
Table10[[#This Row],[fluctuation]],
NA())</f>
        <v>#N/A</v>
      </c>
      <c r="AH30" s="145"/>
    </row>
    <row r="31" spans="1:38" x14ac:dyDescent="0.25">
      <c r="A31" s="129" t="str">
        <f ca="1">IF(ISNUMBER(bills_curr_mo[[#This Row],[bills]]), IFERROR(MONTH(TODAY())&amp;"/"&amp;INDEX(Bills1[Date &lt;d&gt;], ROWS(B$1:$B30)), IFERROR(MONTH(TODAY())&amp;"/"&amp;INDEX(DAY(Bills2[Date &lt;d&gt;]), (ROWS(B$1:$B30)-ROWS(Bills1[Date &lt;d&gt;]))), "")), "")</f>
        <v/>
      </c>
      <c r="B31" s="130" t="str">
        <f>IF(IFERROR(INDEX(Bills1[Amount],ROWS($B$1:$B30)),IFERROR(INDEX(Bills2[Amount],(ROWS($B$1:$B30)-ROWS(Bills1[Amount]))),))&gt;0,-IFERROR(INDEX(Bills1[Amount],ROWS($B$1:$B30)),IFERROR(INDEX(Bills2[Amount],(ROWS($B$1:$B30)-ROWS(Bills1[Amount]))),)), "")</f>
        <v/>
      </c>
      <c r="D31" s="129" t="str">
        <f ca="1">IF(ISNUMBER(bills_curr_plus1[[#This Row],[bills]]), IF(OR(MONTH($A$2)=12, YEAR($A$2)=YEAR(TODAY())+1), IFERROR(MONTH($A$2+32)&amp;"/"&amp;INDEX(Bills1[Date &lt;d&gt;], ROWS($B$1:$B30))&amp;"/"&amp;$C$51, IFERROR(MONTH($A$2+32)&amp;"/"&amp;INDEX(DAY(Bills2[Date &lt;d&gt;]), (ROWS($B$1:$B30)-ROWS(Bills1[Date &lt;d&gt;])))&amp;"/"&amp;$C$51, "")), IFERROR(MONTH($A$2+32)&amp;"/"&amp;INDEX(Bills1[Date &lt;d&gt;], ROWS($B$1:$B30)), IFERROR(MONTH($A$2+32)&amp;"/"&amp;INDEX(DAY(Bills2[Date &lt;d&gt;]), (ROWS($B$1:$B30)-ROWS(Bills1[Date &lt;d&gt;]))), ""))), "")</f>
        <v/>
      </c>
      <c r="E31" s="130" t="str">
        <f>IF(IFERROR(INDEX(Bills1[Amount],ROWS($B$1:$B30)),IFERROR(INDEX(Bills2[Amount],(ROWS($B$1:$B30)-ROWS(Bills1[Amount]))),))&gt;0,-IFERROR(INDEX(Bills1[Amount],ROWS($B$1:$B30)),IFERROR(INDEX(Bills2[Amount],(ROWS($B$1:$B30)-ROWS(Bills1[Amount]))),)), "")</f>
        <v/>
      </c>
      <c r="G31" s="129" t="str">
        <f ca="1">IF(ISNUMBER(bills_curr_plus2[[#This Row],[bills]]), IF(OR(MONTH($D$2)=12, YEAR($D$2)=YEAR(TODAY())+1), IFERROR(MONTH($D$2+32)&amp;"/"&amp;INDEX(Bills1[Date &lt;d&gt;], ROWS($B$1:$B30))&amp;"/"&amp;$C$51, IFERROR(MONTH($D$2+32)&amp;"/"&amp;INDEX(DAY(Bills2[Date &lt;d&gt;]), (ROWS($B$1:$B30)-ROWS(Bills1[Date &lt;d&gt;])))&amp;"/"&amp;$C$51, "")), IFERROR(MONTH($D$2+32)&amp;"/"&amp;INDEX(Bills1[Date &lt;d&gt;], ROWS($B$1:$B30)), IFERROR(MONTH($D$2+32)&amp;"/"&amp;INDEX(DAY(Bills2[Date &lt;d&gt;]), (ROWS($B$1:$B30)-ROWS(Bills1[Date &lt;d&gt;]))), ""))), "")</f>
        <v/>
      </c>
      <c r="H31" s="130" t="str">
        <f>IF(IFERROR(INDEX(Bills1[Amount],ROWS($B$1:$B30)),IFERROR(INDEX(Bills2[Amount],(ROWS($B$1:$B30)-ROWS(Bills1[Amount]))),))&gt;0,-IFERROR(INDEX(Bills1[Amount],ROWS($B$1:$B30)),IFERROR(INDEX(Bills2[Amount],(ROWS($B$1:$B30)-ROWS(Bills1[Amount]))),)), "")</f>
        <v/>
      </c>
      <c r="J31" s="129" t="str">
        <f ca="1">IF(ISNUMBER(bills_curr_plus3[[#This Row],[bills]]), IF(OR(MONTH($G$2)=12, YEAR($G$2)=YEAR(TODAY())+1), IFERROR(MONTH($G$2+32)&amp;"/"&amp;INDEX(Bills1[Date &lt;d&gt;], ROWS($B$1:$B30))&amp;"/"&amp;$C$51, IFERROR(MONTH($G$2+32)&amp;"/"&amp;INDEX(DAY(Bills2[Date &lt;d&gt;]), (ROWS($B$1:$B30)-ROWS(Bills1[Date &lt;d&gt;])))&amp;"/"&amp;$C$51, "")), IFERROR(MONTH($G$2+32)&amp;"/"&amp;INDEX(Bills1[Date &lt;d&gt;], ROWS($B$1:$B30)), IFERROR(MONTH($G$2+32)&amp;"/"&amp;INDEX(DAY(Bills2[Date &lt;d&gt;]), (ROWS($B$1:$B30)-ROWS(Bills1[Date &lt;d&gt;]))), ""))), "")</f>
        <v/>
      </c>
      <c r="K31" s="130" t="str">
        <f>IF(IFERROR(INDEX(Bills1[Amount],ROWS($B$1:$B30)),IFERROR(INDEX(Bills2[Amount],(ROWS($B$1:$B30)-ROWS(Bills1[Amount]))),))&gt;0,-IFERROR(INDEX(Bills1[Amount],ROWS($B$1:$B30)),IFERROR(INDEX(Bills2[Amount],(ROWS($B$1:$B30)-ROWS(Bills1[Amount]))),)), "")</f>
        <v/>
      </c>
      <c r="M31" s="129" t="str">
        <f ca="1">IF(ISNUMBER(bills_curr_plus4[[#This Row],[bills]]), IF(OR(MONTH($J$2)=12, YEAR($J$2)=YEAR(TODAY())+1), IFERROR(MONTH($J$2+32)&amp;"/"&amp;INDEX(Bills1[Date &lt;d&gt;], ROWS($B$1:$B30))&amp;"/"&amp;$C$51, IFERROR(MONTH($J$2+32)&amp;"/"&amp;INDEX(DAY(Bills2[Date &lt;d&gt;]), (ROWS($B$1:$B30)-ROWS(Bills1[Date &lt;d&gt;])))&amp;"/"&amp;$C$51, "")), IFERROR(MONTH($J$2+32)&amp;"/"&amp;INDEX(Bills1[Date &lt;d&gt;], ROWS($B$1:$B30)), IFERROR(MONTH($J$2+32)&amp;"/"&amp;INDEX(DAY(Bills2[Date &lt;d&gt;]), (ROWS($B$1:$B30)-ROWS(Bills1[Date &lt;d&gt;]))), ""))), "")</f>
        <v/>
      </c>
      <c r="N31" s="130" t="str">
        <f>IF(IFERROR(INDEX(Bills1[Amount],ROWS($B$1:$B30)),IFERROR(INDEX(Bills2[Amount],(ROWS($B$1:$B30)-ROWS(Bills1[Amount]))),))&gt;0,-IFERROR(INDEX(Bills1[Amount],ROWS($B$1:$B30)),IFERROR(INDEX(Bills2[Amount],(ROWS($B$1:$B30)-ROWS(Bills1[Amount]))),)), "")</f>
        <v/>
      </c>
      <c r="P31" s="129" t="str">
        <f ca="1">IF(ISNUMBER(bills_curr_plus5[[#This Row],[bills]]), IF(OR(MONTH($M$2)=12, YEAR($M$2)=YEAR(TODAY())+1), IFERROR(MONTH($M$2+32)&amp;"/"&amp;INDEX(Bills1[Date &lt;d&gt;], ROWS($B$1:$B30))&amp;"/"&amp;$C$51, IFERROR(MONTH($M$2+32)&amp;"/"&amp;INDEX(DAY(Bills2[Date &lt;d&gt;]), (ROWS($B$1:$B30)-ROWS(Bills1[Date &lt;d&gt;])))&amp;"/"&amp;$C$51, "")), IFERROR(MONTH($M$2+32)&amp;"/"&amp;INDEX(Bills1[Date &lt;d&gt;], ROWS($B$1:$B30)), IFERROR(MONTH($M$2+32)&amp;"/"&amp;INDEX(DAY(Bills2[Date &lt;d&gt;]), (ROWS($B$1:$B30)-ROWS(Bills1[Date &lt;d&gt;]))), ""))), "")</f>
        <v/>
      </c>
      <c r="Q31" s="130" t="str">
        <f>IF(IFERROR(INDEX(Bills1[Amount],ROWS($B$1:$B30)),IFERROR(INDEX(Bills2[Amount],(ROWS($B$1:$B30)-ROWS(Bills1[Amount]))),))&gt;0,-IFERROR(INDEX(Bills1[Amount],ROWS($B$1:$B30)),IFERROR(INDEX(Bills2[Amount],(ROWS($B$1:$B30)-ROWS(Bills1[Amount]))),)), "")</f>
        <v/>
      </c>
      <c r="R31" s="130"/>
      <c r="S31" s="129" t="str">
        <f ca="1">IF(ISNUMBER(bills_curr_plus6[[#This Row],[bills]]),
IF(OR(MONTH($P$2)=12, YEAR($P$2)=YEAR(TODAY())+1),
IFERROR(MONTH($P$2+32)&amp;"/"&amp;INDEX(Bills1[Date &lt;d&gt;], ROWS($B$1:$B30))&amp;"/"&amp;$C$51,
IFERROR(MONTH($P$2+32)&amp;"/"&amp;INDEX(DAY(Bills2[Date &lt;d&gt;]), (ROWS($B$1:$B30)-ROWS(Bills1[Date &lt;d&gt;])))&amp;"/"&amp;$C$51, "")),
IFERROR(MONTH($P$2+32)&amp;"/"&amp;INDEX(Bills1[Date &lt;d&gt;], ROWS($B$1:$B30)),
IFERROR(MONTH($P$2+32)&amp;"/"&amp;INDEX(DAY(Bills2[Date &lt;d&gt;]), (ROWS($B$1:$B30)-ROWS(Bills1[Date &lt;d&gt;]))), ""))), "")</f>
        <v/>
      </c>
      <c r="T31" s="130" t="str">
        <f>IF(IFERROR(INDEX(Bills1[Amount],ROWS($B$1:$B30)),
IFERROR(INDEX(Bills2[Amount],(ROWS($B$1:$B30)-ROWS(Bills1[Amount]))),))&gt;0,
-IFERROR(INDEX(Bills1[Amount],ROWS($B$1:$B30)),
IFERROR(INDEX(Bills2[Amount],(ROWS($B$1:$B30)-ROWS(Bills1[Amount]))),)), "")</f>
        <v/>
      </c>
      <c r="V31" s="129">
        <v>43799</v>
      </c>
      <c r="W31" s="1">
        <f>DAY(income_future[[#This Row],[dates]])</f>
        <v>30</v>
      </c>
      <c r="X31" s="130">
        <f ca="1">SUMIF(income_curr[mod( )], MOD(V31, 14), income_curr[income])</f>
        <v>1000</v>
      </c>
      <c r="Z31" s="132">
        <f ca="1">IF(TEXT(Table10[[#This Row],[dates]], "ddd")="Mon", 999999999, "")</f>
        <v>999999999</v>
      </c>
      <c r="AA31" s="132" t="str">
        <f ca="1">IF(TODAY()=Table10[[#This Row],[dates]], TEXT(DATE(2019, MONTH(Table10[[#This Row],[dates]]), 1), "mmm"), IFERROR(IF(MONTH(Table10[[#This Row],[dates]])&lt;&gt;MONTH(AC30), TEXT(DATE(2019, MONTH(Table10[[#This Row],[dates]]), 1), "mmm"), ""), ""))</f>
        <v/>
      </c>
      <c r="AB31" s="133">
        <f ca="1">DAY('Data Preparation'!$AC31)</f>
        <v>9</v>
      </c>
      <c r="AC31" s="143">
        <f t="shared" ca="1" si="0"/>
        <v>43808</v>
      </c>
      <c r="AD31"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1" s="136">
        <f ca="1">IFERROR(
IF(MONTH(Table10[[#This Row],[dates]])&lt;&gt;MONTH($AC30), Table10[[#This Row],[delta $]]+AE30-SUM(Bills3[Amount]), N("deducts other bills at the end of each month")+
IF(Table10[[#This Row],[delta $]]&lt;&gt;0, Table10[[#This Row],[delta $]]+AE30,
AE30)),
"")</f>
        <v>2568</v>
      </c>
      <c r="AF31" s="136">
        <f ca="1">Table10[[#This Row],[sum per date]]-IF(MONTH(Table10[[#This Row],[dates]])=MONTH(TODAY()),
SUMIF(Bills3[Paid?], "&lt;&gt;Y", Bills3[Amount]), SUM(Bills3[Amount]))</f>
        <v>1948</v>
      </c>
      <c r="AG31" s="136" t="e">
        <f ca="1">IF(AND(
Table10[[#This Row],[fluctuation]]=MIN(INDEX(Table10[fluctuation], MATCH(TODAY(),Table10[dates], 0)):INDEX(Table10[fluctuation], MATCH(end_date,Table10[dates], 0))),
OR(ISNA(INDEX($AF$2:AF30, MATCH(Table10[[#This Row],[fluctuation]], $AF$2:AF30, 0))), ROW(AG31)=2)),
Table10[[#This Row],[fluctuation]],
NA())</f>
        <v>#N/A</v>
      </c>
    </row>
    <row r="32" spans="1:38" x14ac:dyDescent="0.25">
      <c r="A32" s="129" t="str">
        <f ca="1">IF(ISNUMBER(bills_curr_mo[[#This Row],[bills]]), IFERROR(MONTH(TODAY())&amp;"/"&amp;INDEX(Bills1[Date &lt;d&gt;], ROWS(B$1:$B31)), IFERROR(MONTH(TODAY())&amp;"/"&amp;INDEX(DAY(Bills2[Date &lt;d&gt;]), (ROWS(B$1:$B31)-ROWS(Bills1[Date &lt;d&gt;]))), "")), "")</f>
        <v/>
      </c>
      <c r="B32" s="130" t="str">
        <f>IF(IFERROR(INDEX(Bills1[Amount],ROWS($B$1:$B31)),IFERROR(INDEX(Bills2[Amount],(ROWS($B$1:$B31)-ROWS(Bills1[Amount]))),))&gt;0,-IFERROR(INDEX(Bills1[Amount],ROWS($B$1:$B31)),IFERROR(INDEX(Bills2[Amount],(ROWS($B$1:$B31)-ROWS(Bills1[Amount]))),)), "")</f>
        <v/>
      </c>
      <c r="D32" s="129" t="str">
        <f ca="1">IF(ISNUMBER(bills_curr_plus1[[#This Row],[bills]]), IF(OR(MONTH($A$2)=12, YEAR($A$2)=YEAR(TODAY())+1), IFERROR(MONTH($A$2+32)&amp;"/"&amp;INDEX(Bills1[Date &lt;d&gt;], ROWS($B$1:$B31))&amp;"/"&amp;$C$51, IFERROR(MONTH($A$2+32)&amp;"/"&amp;INDEX(DAY(Bills2[Date &lt;d&gt;]), (ROWS($B$1:$B31)-ROWS(Bills1[Date &lt;d&gt;])))&amp;"/"&amp;$C$51, "")), IFERROR(MONTH($A$2+32)&amp;"/"&amp;INDEX(Bills1[Date &lt;d&gt;], ROWS($B$1:$B31)), IFERROR(MONTH($A$2+32)&amp;"/"&amp;INDEX(DAY(Bills2[Date &lt;d&gt;]), (ROWS($B$1:$B31)-ROWS(Bills1[Date &lt;d&gt;]))), ""))), "")</f>
        <v/>
      </c>
      <c r="E32" s="130" t="str">
        <f>IF(IFERROR(INDEX(Bills1[Amount],ROWS($B$1:$B31)),IFERROR(INDEX(Bills2[Amount],(ROWS($B$1:$B31)-ROWS(Bills1[Amount]))),))&gt;0,-IFERROR(INDEX(Bills1[Amount],ROWS($B$1:$B31)),IFERROR(INDEX(Bills2[Amount],(ROWS($B$1:$B31)-ROWS(Bills1[Amount]))),)), "")</f>
        <v/>
      </c>
      <c r="G32" s="129" t="str">
        <f ca="1">IF(ISNUMBER(bills_curr_plus2[[#This Row],[bills]]), IF(OR(MONTH($D$2)=12, YEAR($D$2)=YEAR(TODAY())+1), IFERROR(MONTH($D$2+32)&amp;"/"&amp;INDEX(Bills1[Date &lt;d&gt;], ROWS($B$1:$B31))&amp;"/"&amp;$C$51, IFERROR(MONTH($D$2+32)&amp;"/"&amp;INDEX(DAY(Bills2[Date &lt;d&gt;]), (ROWS($B$1:$B31)-ROWS(Bills1[Date &lt;d&gt;])))&amp;"/"&amp;$C$51, "")), IFERROR(MONTH($D$2+32)&amp;"/"&amp;INDEX(Bills1[Date &lt;d&gt;], ROWS($B$1:$B31)), IFERROR(MONTH($D$2+32)&amp;"/"&amp;INDEX(DAY(Bills2[Date &lt;d&gt;]), (ROWS($B$1:$B31)-ROWS(Bills1[Date &lt;d&gt;]))), ""))), "")</f>
        <v/>
      </c>
      <c r="H32" s="130" t="str">
        <f>IF(IFERROR(INDEX(Bills1[Amount],ROWS($B$1:$B31)),IFERROR(INDEX(Bills2[Amount],(ROWS($B$1:$B31)-ROWS(Bills1[Amount]))),))&gt;0,-IFERROR(INDEX(Bills1[Amount],ROWS($B$1:$B31)),IFERROR(INDEX(Bills2[Amount],(ROWS($B$1:$B31)-ROWS(Bills1[Amount]))),)), "")</f>
        <v/>
      </c>
      <c r="J32" s="129" t="str">
        <f ca="1">IF(ISNUMBER(bills_curr_plus3[[#This Row],[bills]]), IF(OR(MONTH($G$2)=12, YEAR($G$2)=YEAR(TODAY())+1), IFERROR(MONTH($G$2+32)&amp;"/"&amp;INDEX(Bills1[Date &lt;d&gt;], ROWS($B$1:$B31))&amp;"/"&amp;$C$51, IFERROR(MONTH($G$2+32)&amp;"/"&amp;INDEX(DAY(Bills2[Date &lt;d&gt;]), (ROWS($B$1:$B31)-ROWS(Bills1[Date &lt;d&gt;])))&amp;"/"&amp;$C$51, "")), IFERROR(MONTH($G$2+32)&amp;"/"&amp;INDEX(Bills1[Date &lt;d&gt;], ROWS($B$1:$B31)), IFERROR(MONTH($G$2+32)&amp;"/"&amp;INDEX(DAY(Bills2[Date &lt;d&gt;]), (ROWS($B$1:$B31)-ROWS(Bills1[Date &lt;d&gt;]))), ""))), "")</f>
        <v/>
      </c>
      <c r="K32" s="130" t="str">
        <f>IF(IFERROR(INDEX(Bills1[Amount],ROWS($B$1:$B31)),IFERROR(INDEX(Bills2[Amount],(ROWS($B$1:$B31)-ROWS(Bills1[Amount]))),))&gt;0,-IFERROR(INDEX(Bills1[Amount],ROWS($B$1:$B31)),IFERROR(INDEX(Bills2[Amount],(ROWS($B$1:$B31)-ROWS(Bills1[Amount]))),)), "")</f>
        <v/>
      </c>
      <c r="M32" s="129" t="str">
        <f ca="1">IF(ISNUMBER(bills_curr_plus4[[#This Row],[bills]]), IF(OR(MONTH($J$2)=12, YEAR($J$2)=YEAR(TODAY())+1), IFERROR(MONTH($J$2+32)&amp;"/"&amp;INDEX(Bills1[Date &lt;d&gt;], ROWS($B$1:$B31))&amp;"/"&amp;$C$51, IFERROR(MONTH($J$2+32)&amp;"/"&amp;INDEX(DAY(Bills2[Date &lt;d&gt;]), (ROWS($B$1:$B31)-ROWS(Bills1[Date &lt;d&gt;])))&amp;"/"&amp;$C$51, "")), IFERROR(MONTH($J$2+32)&amp;"/"&amp;INDEX(Bills1[Date &lt;d&gt;], ROWS($B$1:$B31)), IFERROR(MONTH($J$2+32)&amp;"/"&amp;INDEX(DAY(Bills2[Date &lt;d&gt;]), (ROWS($B$1:$B31)-ROWS(Bills1[Date &lt;d&gt;]))), ""))), "")</f>
        <v/>
      </c>
      <c r="N32" s="130" t="str">
        <f>IF(IFERROR(INDEX(Bills1[Amount],ROWS($B$1:$B31)),IFERROR(INDEX(Bills2[Amount],(ROWS($B$1:$B31)-ROWS(Bills1[Amount]))),))&gt;0,-IFERROR(INDEX(Bills1[Amount],ROWS($B$1:$B31)),IFERROR(INDEX(Bills2[Amount],(ROWS($B$1:$B31)-ROWS(Bills1[Amount]))),)), "")</f>
        <v/>
      </c>
      <c r="P32" s="129" t="str">
        <f ca="1">IF(ISNUMBER(bills_curr_plus5[[#This Row],[bills]]), IF(OR(MONTH($M$2)=12, YEAR($M$2)=YEAR(TODAY())+1), IFERROR(MONTH($M$2+32)&amp;"/"&amp;INDEX(Bills1[Date &lt;d&gt;], ROWS($B$1:$B31))&amp;"/"&amp;$C$51, IFERROR(MONTH($M$2+32)&amp;"/"&amp;INDEX(DAY(Bills2[Date &lt;d&gt;]), (ROWS($B$1:$B31)-ROWS(Bills1[Date &lt;d&gt;])))&amp;"/"&amp;$C$51, "")), IFERROR(MONTH($M$2+32)&amp;"/"&amp;INDEX(Bills1[Date &lt;d&gt;], ROWS($B$1:$B31)), IFERROR(MONTH($M$2+32)&amp;"/"&amp;INDEX(DAY(Bills2[Date &lt;d&gt;]), (ROWS($B$1:$B31)-ROWS(Bills1[Date &lt;d&gt;]))), ""))), "")</f>
        <v/>
      </c>
      <c r="Q32" s="130" t="str">
        <f>IF(IFERROR(INDEX(Bills1[Amount],ROWS($B$1:$B31)),IFERROR(INDEX(Bills2[Amount],(ROWS($B$1:$B31)-ROWS(Bills1[Amount]))),))&gt;0,-IFERROR(INDEX(Bills1[Amount],ROWS($B$1:$B31)),IFERROR(INDEX(Bills2[Amount],(ROWS($B$1:$B31)-ROWS(Bills1[Amount]))),)), "")</f>
        <v/>
      </c>
      <c r="R32" s="130"/>
      <c r="S32" s="129" t="str">
        <f ca="1">IF(ISNUMBER(bills_curr_plus6[[#This Row],[bills]]),
IF(OR(MONTH($P$2)=12, YEAR($P$2)=YEAR(TODAY())+1),
IFERROR(MONTH($P$2+32)&amp;"/"&amp;INDEX(Bills1[Date &lt;d&gt;], ROWS($B$1:$B31))&amp;"/"&amp;$C$51,
IFERROR(MONTH($P$2+32)&amp;"/"&amp;INDEX(DAY(Bills2[Date &lt;d&gt;]), (ROWS($B$1:$B31)-ROWS(Bills1[Date &lt;d&gt;])))&amp;"/"&amp;$C$51, "")),
IFERROR(MONTH($P$2+32)&amp;"/"&amp;INDEX(Bills1[Date &lt;d&gt;], ROWS($B$1:$B31)),
IFERROR(MONTH($P$2+32)&amp;"/"&amp;INDEX(DAY(Bills2[Date &lt;d&gt;]), (ROWS($B$1:$B31)-ROWS(Bills1[Date &lt;d&gt;]))), ""))), "")</f>
        <v/>
      </c>
      <c r="T32" s="130" t="str">
        <f>IF(IFERROR(INDEX(Bills1[Amount],ROWS($B$1:$B31)),
IFERROR(INDEX(Bills2[Amount],(ROWS($B$1:$B31)-ROWS(Bills1[Amount]))),))&gt;0,
-IFERROR(INDEX(Bills1[Amount],ROWS($B$1:$B31)),
IFERROR(INDEX(Bills2[Amount],(ROWS($B$1:$B31)-ROWS(Bills1[Amount]))),)), "")</f>
        <v/>
      </c>
      <c r="V32" s="129">
        <v>43800</v>
      </c>
      <c r="W32" s="1">
        <f>DAY(income_future[[#This Row],[dates]])</f>
        <v>1</v>
      </c>
      <c r="X32" s="130">
        <f ca="1">SUMIF(income_curr[mod( )], MOD(V32, 14), income_curr[income])</f>
        <v>0</v>
      </c>
      <c r="Z32" s="132" t="str">
        <f ca="1">IF(TEXT(Table10[[#This Row],[dates]], "ddd")="Mon", 999999999, "")</f>
        <v/>
      </c>
      <c r="AA32" s="132" t="str">
        <f ca="1">IF(TODAY()=Table10[[#This Row],[dates]], TEXT(DATE(2019, MONTH(Table10[[#This Row],[dates]]), 1), "mmm"), IFERROR(IF(MONTH(Table10[[#This Row],[dates]])&lt;&gt;MONTH(AC31), TEXT(DATE(2019, MONTH(Table10[[#This Row],[dates]]), 1), "mmm"), ""), ""))</f>
        <v/>
      </c>
      <c r="AB32" s="133">
        <f ca="1">DAY('Data Preparation'!$AC32)</f>
        <v>10</v>
      </c>
      <c r="AC32" s="143">
        <f t="shared" ca="1" si="0"/>
        <v>43809</v>
      </c>
      <c r="AD32"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2" s="136">
        <f ca="1">IFERROR(
IF(MONTH(Table10[[#This Row],[dates]])&lt;&gt;MONTH($AC31), Table10[[#This Row],[delta $]]+AE31-SUM(Bills3[Amount]), N("deducts other bills at the end of each month")+
IF(Table10[[#This Row],[delta $]]&lt;&gt;0, Table10[[#This Row],[delta $]]+AE31,
AE31)),
"")</f>
        <v>2568</v>
      </c>
      <c r="AF32" s="136">
        <f ca="1">Table10[[#This Row],[sum per date]]-IF(MONTH(Table10[[#This Row],[dates]])=MONTH(TODAY()),
SUMIF(Bills3[Paid?], "&lt;&gt;Y", Bills3[Amount]), SUM(Bills3[Amount]))</f>
        <v>1948</v>
      </c>
      <c r="AG32" s="136" t="e">
        <f ca="1">IF(AND(
Table10[[#This Row],[fluctuation]]=MIN(INDEX(Table10[fluctuation], MATCH(TODAY(),Table10[dates], 0)):INDEX(Table10[fluctuation], MATCH(end_date,Table10[dates], 0))),
OR(ISNA(INDEX($AF$2:AF31, MATCH(Table10[[#This Row],[fluctuation]], $AF$2:AF31, 0))), ROW(AG32)=2)),
Table10[[#This Row],[fluctuation]],
NA())</f>
        <v>#N/A</v>
      </c>
    </row>
    <row r="33" spans="1:33" x14ac:dyDescent="0.25">
      <c r="A33" s="129" t="str">
        <f ca="1">IF(ISNUMBER(bills_curr_mo[[#This Row],[bills]]), IFERROR(MONTH(TODAY())&amp;"/"&amp;INDEX(Bills1[Date &lt;d&gt;], ROWS(B$1:$B32)), IFERROR(MONTH(TODAY())&amp;"/"&amp;INDEX(DAY(Bills2[Date &lt;d&gt;]), (ROWS(B$1:$B32)-ROWS(Bills1[Date &lt;d&gt;]))), "")), "")</f>
        <v/>
      </c>
      <c r="B33" s="130" t="str">
        <f>IF(IFERROR(INDEX(Bills1[Amount],ROWS($B$1:$B32)),IFERROR(INDEX(Bills2[Amount],(ROWS($B$1:$B32)-ROWS(Bills1[Amount]))),))&gt;0,-IFERROR(INDEX(Bills1[Amount],ROWS($B$1:$B32)),IFERROR(INDEX(Bills2[Amount],(ROWS($B$1:$B32)-ROWS(Bills1[Amount]))),)), "")</f>
        <v/>
      </c>
      <c r="D33" s="129" t="str">
        <f ca="1">IF(ISNUMBER(bills_curr_plus1[[#This Row],[bills]]), IF(OR(MONTH($A$2)=12, YEAR($A$2)=YEAR(TODAY())+1), IFERROR(MONTH($A$2+32)&amp;"/"&amp;INDEX(Bills1[Date &lt;d&gt;], ROWS($B$1:$B32))&amp;"/"&amp;$C$51, IFERROR(MONTH($A$2+32)&amp;"/"&amp;INDEX(DAY(Bills2[Date &lt;d&gt;]), (ROWS($B$1:$B32)-ROWS(Bills1[Date &lt;d&gt;])))&amp;"/"&amp;$C$51, "")), IFERROR(MONTH($A$2+32)&amp;"/"&amp;INDEX(Bills1[Date &lt;d&gt;], ROWS($B$1:$B32)), IFERROR(MONTH($A$2+32)&amp;"/"&amp;INDEX(DAY(Bills2[Date &lt;d&gt;]), (ROWS($B$1:$B32)-ROWS(Bills1[Date &lt;d&gt;]))), ""))), "")</f>
        <v/>
      </c>
      <c r="E33" s="130" t="str">
        <f>IF(IFERROR(INDEX(Bills1[Amount],ROWS($B$1:$B32)),IFERROR(INDEX(Bills2[Amount],(ROWS($B$1:$B32)-ROWS(Bills1[Amount]))),))&gt;0,-IFERROR(INDEX(Bills1[Amount],ROWS($B$1:$B32)),IFERROR(INDEX(Bills2[Amount],(ROWS($B$1:$B32)-ROWS(Bills1[Amount]))),)), "")</f>
        <v/>
      </c>
      <c r="G33" s="129" t="str">
        <f ca="1">IF(ISNUMBER(bills_curr_plus2[[#This Row],[bills]]), IF(OR(MONTH($D$2)=12, YEAR($D$2)=YEAR(TODAY())+1), IFERROR(MONTH($D$2+32)&amp;"/"&amp;INDEX(Bills1[Date &lt;d&gt;], ROWS($B$1:$B32))&amp;"/"&amp;$C$51, IFERROR(MONTH($D$2+32)&amp;"/"&amp;INDEX(DAY(Bills2[Date &lt;d&gt;]), (ROWS($B$1:$B32)-ROWS(Bills1[Date &lt;d&gt;])))&amp;"/"&amp;$C$51, "")), IFERROR(MONTH($D$2+32)&amp;"/"&amp;INDEX(Bills1[Date &lt;d&gt;], ROWS($B$1:$B32)), IFERROR(MONTH($D$2+32)&amp;"/"&amp;INDEX(DAY(Bills2[Date &lt;d&gt;]), (ROWS($B$1:$B32)-ROWS(Bills1[Date &lt;d&gt;]))), ""))), "")</f>
        <v/>
      </c>
      <c r="H33" s="130" t="str">
        <f>IF(IFERROR(INDEX(Bills1[Amount],ROWS($B$1:$B32)),IFERROR(INDEX(Bills2[Amount],(ROWS($B$1:$B32)-ROWS(Bills1[Amount]))),))&gt;0,-IFERROR(INDEX(Bills1[Amount],ROWS($B$1:$B32)),IFERROR(INDEX(Bills2[Amount],(ROWS($B$1:$B32)-ROWS(Bills1[Amount]))),)), "")</f>
        <v/>
      </c>
      <c r="J33" s="129" t="str">
        <f ca="1">IF(ISNUMBER(bills_curr_plus3[[#This Row],[bills]]), IF(OR(MONTH($G$2)=12, YEAR($G$2)=YEAR(TODAY())+1), IFERROR(MONTH($G$2+32)&amp;"/"&amp;INDEX(Bills1[Date &lt;d&gt;], ROWS($B$1:$B32))&amp;"/"&amp;$C$51, IFERROR(MONTH($G$2+32)&amp;"/"&amp;INDEX(DAY(Bills2[Date &lt;d&gt;]), (ROWS($B$1:$B32)-ROWS(Bills1[Date &lt;d&gt;])))&amp;"/"&amp;$C$51, "")), IFERROR(MONTH($G$2+32)&amp;"/"&amp;INDEX(Bills1[Date &lt;d&gt;], ROWS($B$1:$B32)), IFERROR(MONTH($G$2+32)&amp;"/"&amp;INDEX(DAY(Bills2[Date &lt;d&gt;]), (ROWS($B$1:$B32)-ROWS(Bills1[Date &lt;d&gt;]))), ""))), "")</f>
        <v/>
      </c>
      <c r="K33" s="130" t="str">
        <f>IF(IFERROR(INDEX(Bills1[Amount],ROWS($B$1:$B32)),IFERROR(INDEX(Bills2[Amount],(ROWS($B$1:$B32)-ROWS(Bills1[Amount]))),))&gt;0,-IFERROR(INDEX(Bills1[Amount],ROWS($B$1:$B32)),IFERROR(INDEX(Bills2[Amount],(ROWS($B$1:$B32)-ROWS(Bills1[Amount]))),)), "")</f>
        <v/>
      </c>
      <c r="M33" s="129" t="str">
        <f ca="1">IF(ISNUMBER(bills_curr_plus4[[#This Row],[bills]]), IF(OR(MONTH($J$2)=12, YEAR($J$2)=YEAR(TODAY())+1), IFERROR(MONTH($J$2+32)&amp;"/"&amp;INDEX(Bills1[Date &lt;d&gt;], ROWS($B$1:$B32))&amp;"/"&amp;$C$51, IFERROR(MONTH($J$2+32)&amp;"/"&amp;INDEX(DAY(Bills2[Date &lt;d&gt;]), (ROWS($B$1:$B32)-ROWS(Bills1[Date &lt;d&gt;])))&amp;"/"&amp;$C$51, "")), IFERROR(MONTH($J$2+32)&amp;"/"&amp;INDEX(Bills1[Date &lt;d&gt;], ROWS($B$1:$B32)), IFERROR(MONTH($J$2+32)&amp;"/"&amp;INDEX(DAY(Bills2[Date &lt;d&gt;]), (ROWS($B$1:$B32)-ROWS(Bills1[Date &lt;d&gt;]))), ""))), "")</f>
        <v/>
      </c>
      <c r="N33" s="130" t="str">
        <f>IF(IFERROR(INDEX(Bills1[Amount],ROWS($B$1:$B32)),IFERROR(INDEX(Bills2[Amount],(ROWS($B$1:$B32)-ROWS(Bills1[Amount]))),))&gt;0,-IFERROR(INDEX(Bills1[Amount],ROWS($B$1:$B32)),IFERROR(INDEX(Bills2[Amount],(ROWS($B$1:$B32)-ROWS(Bills1[Amount]))),)), "")</f>
        <v/>
      </c>
      <c r="P33" s="129" t="str">
        <f ca="1">IF(ISNUMBER(bills_curr_plus5[[#This Row],[bills]]), IF(OR(MONTH($M$2)=12, YEAR($M$2)=YEAR(TODAY())+1), IFERROR(MONTH($M$2+32)&amp;"/"&amp;INDEX(Bills1[Date &lt;d&gt;], ROWS($B$1:$B32))&amp;"/"&amp;$C$51, IFERROR(MONTH($M$2+32)&amp;"/"&amp;INDEX(DAY(Bills2[Date &lt;d&gt;]), (ROWS($B$1:$B32)-ROWS(Bills1[Date &lt;d&gt;])))&amp;"/"&amp;$C$51, "")), IFERROR(MONTH($M$2+32)&amp;"/"&amp;INDEX(Bills1[Date &lt;d&gt;], ROWS($B$1:$B32)), IFERROR(MONTH($M$2+32)&amp;"/"&amp;INDEX(DAY(Bills2[Date &lt;d&gt;]), (ROWS($B$1:$B32)-ROWS(Bills1[Date &lt;d&gt;]))), ""))), "")</f>
        <v/>
      </c>
      <c r="Q33" s="130" t="str">
        <f>IF(IFERROR(INDEX(Bills1[Amount],ROWS($B$1:$B32)),IFERROR(INDEX(Bills2[Amount],(ROWS($B$1:$B32)-ROWS(Bills1[Amount]))),))&gt;0,-IFERROR(INDEX(Bills1[Amount],ROWS($B$1:$B32)),IFERROR(INDEX(Bills2[Amount],(ROWS($B$1:$B32)-ROWS(Bills1[Amount]))),)), "")</f>
        <v/>
      </c>
      <c r="R33" s="130"/>
      <c r="S33" s="129" t="str">
        <f ca="1">IF(ISNUMBER(bills_curr_plus6[[#This Row],[bills]]),
IF(OR(MONTH($P$2)=12, YEAR($P$2)=YEAR(TODAY())+1),
IFERROR(MONTH($P$2+32)&amp;"/"&amp;INDEX(Bills1[Date &lt;d&gt;], ROWS($B$1:$B32))&amp;"/"&amp;$C$51,
IFERROR(MONTH($P$2+32)&amp;"/"&amp;INDEX(DAY(Bills2[Date &lt;d&gt;]), (ROWS($B$1:$B32)-ROWS(Bills1[Date &lt;d&gt;])))&amp;"/"&amp;$C$51, "")),
IFERROR(MONTH($P$2+32)&amp;"/"&amp;INDEX(Bills1[Date &lt;d&gt;], ROWS($B$1:$B32)),
IFERROR(MONTH($P$2+32)&amp;"/"&amp;INDEX(DAY(Bills2[Date &lt;d&gt;]), (ROWS($B$1:$B32)-ROWS(Bills1[Date &lt;d&gt;]))), ""))), "")</f>
        <v/>
      </c>
      <c r="T33" s="130" t="str">
        <f>IF(IFERROR(INDEX(Bills1[Amount],ROWS($B$1:$B32)),
IFERROR(INDEX(Bills2[Amount],(ROWS($B$1:$B32)-ROWS(Bills1[Amount]))),))&gt;0,
-IFERROR(INDEX(Bills1[Amount],ROWS($B$1:$B32)),
IFERROR(INDEX(Bills2[Amount],(ROWS($B$1:$B32)-ROWS(Bills1[Amount]))),)), "")</f>
        <v/>
      </c>
      <c r="V33" s="129">
        <v>43801</v>
      </c>
      <c r="W33" s="1">
        <f>DAY(income_future[[#This Row],[dates]])</f>
        <v>2</v>
      </c>
      <c r="X33" s="130">
        <f ca="1">SUMIF(income_curr[mod( )], MOD(V33, 14), income_curr[income])</f>
        <v>0</v>
      </c>
      <c r="Z33" s="132" t="str">
        <f ca="1">IF(TEXT(Table10[[#This Row],[dates]], "ddd")="Mon", 999999999, "")</f>
        <v/>
      </c>
      <c r="AA33" s="132" t="str">
        <f ca="1">IF(TODAY()=Table10[[#This Row],[dates]], TEXT(DATE(2019, MONTH(Table10[[#This Row],[dates]]), 1), "mmm"), IFERROR(IF(MONTH(Table10[[#This Row],[dates]])&lt;&gt;MONTH(AC32), TEXT(DATE(2019, MONTH(Table10[[#This Row],[dates]]), 1), "mmm"), ""), ""))</f>
        <v/>
      </c>
      <c r="AB33" s="133">
        <f ca="1">DAY('Data Preparation'!$AC33)</f>
        <v>11</v>
      </c>
      <c r="AC33" s="143">
        <f t="shared" ca="1" si="0"/>
        <v>43810</v>
      </c>
      <c r="AD33"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3" s="136">
        <f ca="1">IFERROR(
IF(MONTH(Table10[[#This Row],[dates]])&lt;&gt;MONTH($AC32), Table10[[#This Row],[delta $]]+AE32-SUM(Bills3[Amount]), N("deducts other bills at the end of each month")+
IF(Table10[[#This Row],[delta $]]&lt;&gt;0, Table10[[#This Row],[delta $]]+AE32,
AE32)),
"")</f>
        <v>2568</v>
      </c>
      <c r="AF33" s="136">
        <f ca="1">Table10[[#This Row],[sum per date]]-IF(MONTH(Table10[[#This Row],[dates]])=MONTH(TODAY()),
SUMIF(Bills3[Paid?], "&lt;&gt;Y", Bills3[Amount]), SUM(Bills3[Amount]))</f>
        <v>1948</v>
      </c>
      <c r="AG33" s="136" t="e">
        <f ca="1">IF(AND(
Table10[[#This Row],[fluctuation]]=MIN(INDEX(Table10[fluctuation], MATCH(TODAY(),Table10[dates], 0)):INDEX(Table10[fluctuation], MATCH(end_date,Table10[dates], 0))),
OR(ISNA(INDEX($AF$2:AF32, MATCH(Table10[[#This Row],[fluctuation]], $AF$2:AF32, 0))), ROW(AG33)=2)),
Table10[[#This Row],[fluctuation]],
NA())</f>
        <v>#N/A</v>
      </c>
    </row>
    <row r="34" spans="1:33" x14ac:dyDescent="0.25">
      <c r="A34" s="129" t="str">
        <f ca="1">IF(ISNUMBER(bills_curr_mo[[#This Row],[bills]]), IFERROR(MONTH(TODAY())&amp;"/"&amp;INDEX(Bills1[Date &lt;d&gt;], ROWS(B$1:$B33)), IFERROR(MONTH(TODAY())&amp;"/"&amp;INDEX(DAY(Bills2[Date &lt;d&gt;]), (ROWS(B$1:$B33)-ROWS(Bills1[Date &lt;d&gt;]))), "")), "")</f>
        <v/>
      </c>
      <c r="B34" s="130" t="str">
        <f>IF(IFERROR(INDEX(Bills1[Amount],ROWS($B$1:$B33)),IFERROR(INDEX(Bills2[Amount],(ROWS($B$1:$B33)-ROWS(Bills1[Amount]))),))&gt;0,-IFERROR(INDEX(Bills1[Amount],ROWS($B$1:$B33)),IFERROR(INDEX(Bills2[Amount],(ROWS($B$1:$B33)-ROWS(Bills1[Amount]))),)), "")</f>
        <v/>
      </c>
      <c r="D34" s="129" t="str">
        <f ca="1">IF(ISNUMBER(bills_curr_plus1[[#This Row],[bills]]), IF(OR(MONTH($A$2)=12, YEAR($A$2)=YEAR(TODAY())+1), IFERROR(MONTH($A$2+32)&amp;"/"&amp;INDEX(Bills1[Date &lt;d&gt;], ROWS($B$1:$B33))&amp;"/"&amp;$C$51, IFERROR(MONTH($A$2+32)&amp;"/"&amp;INDEX(DAY(Bills2[Date &lt;d&gt;]), (ROWS($B$1:$B33)-ROWS(Bills1[Date &lt;d&gt;])))&amp;"/"&amp;$C$51, "")), IFERROR(MONTH($A$2+32)&amp;"/"&amp;INDEX(Bills1[Date &lt;d&gt;], ROWS($B$1:$B33)), IFERROR(MONTH($A$2+32)&amp;"/"&amp;INDEX(DAY(Bills2[Date &lt;d&gt;]), (ROWS($B$1:$B33)-ROWS(Bills1[Date &lt;d&gt;]))), ""))), "")</f>
        <v/>
      </c>
      <c r="E34" s="130" t="str">
        <f>IF(IFERROR(INDEX(Bills1[Amount],ROWS($B$1:$B33)),IFERROR(INDEX(Bills2[Amount],(ROWS($B$1:$B33)-ROWS(Bills1[Amount]))),))&gt;0,-IFERROR(INDEX(Bills1[Amount],ROWS($B$1:$B33)),IFERROR(INDEX(Bills2[Amount],(ROWS($B$1:$B33)-ROWS(Bills1[Amount]))),)), "")</f>
        <v/>
      </c>
      <c r="G34" s="129" t="str">
        <f ca="1">IF(ISNUMBER(bills_curr_plus2[[#This Row],[bills]]), IF(OR(MONTH($D$2)=12, YEAR($D$2)=YEAR(TODAY())+1), IFERROR(MONTH($D$2+32)&amp;"/"&amp;INDEX(Bills1[Date &lt;d&gt;], ROWS($B$1:$B33))&amp;"/"&amp;$C$51, IFERROR(MONTH($D$2+32)&amp;"/"&amp;INDEX(DAY(Bills2[Date &lt;d&gt;]), (ROWS($B$1:$B33)-ROWS(Bills1[Date &lt;d&gt;])))&amp;"/"&amp;$C$51, "")), IFERROR(MONTH($D$2+32)&amp;"/"&amp;INDEX(Bills1[Date &lt;d&gt;], ROWS($B$1:$B33)), IFERROR(MONTH($D$2+32)&amp;"/"&amp;INDEX(DAY(Bills2[Date &lt;d&gt;]), (ROWS($B$1:$B33)-ROWS(Bills1[Date &lt;d&gt;]))), ""))), "")</f>
        <v/>
      </c>
      <c r="H34" s="130" t="str">
        <f>IF(IFERROR(INDEX(Bills1[Amount],ROWS($B$1:$B33)),IFERROR(INDEX(Bills2[Amount],(ROWS($B$1:$B33)-ROWS(Bills1[Amount]))),))&gt;0,-IFERROR(INDEX(Bills1[Amount],ROWS($B$1:$B33)),IFERROR(INDEX(Bills2[Amount],(ROWS($B$1:$B33)-ROWS(Bills1[Amount]))),)), "")</f>
        <v/>
      </c>
      <c r="J34" s="129" t="str">
        <f ca="1">IF(ISNUMBER(bills_curr_plus3[[#This Row],[bills]]), IF(OR(MONTH($G$2)=12, YEAR($G$2)=YEAR(TODAY())+1), IFERROR(MONTH($G$2+32)&amp;"/"&amp;INDEX(Bills1[Date &lt;d&gt;], ROWS($B$1:$B33))&amp;"/"&amp;$C$51, IFERROR(MONTH($G$2+32)&amp;"/"&amp;INDEX(DAY(Bills2[Date &lt;d&gt;]), (ROWS($B$1:$B33)-ROWS(Bills1[Date &lt;d&gt;])))&amp;"/"&amp;$C$51, "")), IFERROR(MONTH($G$2+32)&amp;"/"&amp;INDEX(Bills1[Date &lt;d&gt;], ROWS($B$1:$B33)), IFERROR(MONTH($G$2+32)&amp;"/"&amp;INDEX(DAY(Bills2[Date &lt;d&gt;]), (ROWS($B$1:$B33)-ROWS(Bills1[Date &lt;d&gt;]))), ""))), "")</f>
        <v/>
      </c>
      <c r="K34" s="130" t="str">
        <f>IF(IFERROR(INDEX(Bills1[Amount],ROWS($B$1:$B33)),IFERROR(INDEX(Bills2[Amount],(ROWS($B$1:$B33)-ROWS(Bills1[Amount]))),))&gt;0,-IFERROR(INDEX(Bills1[Amount],ROWS($B$1:$B33)),IFERROR(INDEX(Bills2[Amount],(ROWS($B$1:$B33)-ROWS(Bills1[Amount]))),)), "")</f>
        <v/>
      </c>
      <c r="M34" s="129" t="str">
        <f ca="1">IF(ISNUMBER(bills_curr_plus4[[#This Row],[bills]]), IF(OR(MONTH($J$2)=12, YEAR($J$2)=YEAR(TODAY())+1), IFERROR(MONTH($J$2+32)&amp;"/"&amp;INDEX(Bills1[Date &lt;d&gt;], ROWS($B$1:$B33))&amp;"/"&amp;$C$51, IFERROR(MONTH($J$2+32)&amp;"/"&amp;INDEX(DAY(Bills2[Date &lt;d&gt;]), (ROWS($B$1:$B33)-ROWS(Bills1[Date &lt;d&gt;])))&amp;"/"&amp;$C$51, "")), IFERROR(MONTH($J$2+32)&amp;"/"&amp;INDEX(Bills1[Date &lt;d&gt;], ROWS($B$1:$B33)), IFERROR(MONTH($J$2+32)&amp;"/"&amp;INDEX(DAY(Bills2[Date &lt;d&gt;]), (ROWS($B$1:$B33)-ROWS(Bills1[Date &lt;d&gt;]))), ""))), "")</f>
        <v/>
      </c>
      <c r="N34" s="130" t="str">
        <f>IF(IFERROR(INDEX(Bills1[Amount],ROWS($B$1:$B33)),IFERROR(INDEX(Bills2[Amount],(ROWS($B$1:$B33)-ROWS(Bills1[Amount]))),))&gt;0,-IFERROR(INDEX(Bills1[Amount],ROWS($B$1:$B33)),IFERROR(INDEX(Bills2[Amount],(ROWS($B$1:$B33)-ROWS(Bills1[Amount]))),)), "")</f>
        <v/>
      </c>
      <c r="P34" s="129" t="str">
        <f ca="1">IF(ISNUMBER(bills_curr_plus5[[#This Row],[bills]]), IF(OR(MONTH($M$2)=12, YEAR($M$2)=YEAR(TODAY())+1), IFERROR(MONTH($M$2+32)&amp;"/"&amp;INDEX(Bills1[Date &lt;d&gt;], ROWS($B$1:$B33))&amp;"/"&amp;$C$51, IFERROR(MONTH($M$2+32)&amp;"/"&amp;INDEX(DAY(Bills2[Date &lt;d&gt;]), (ROWS($B$1:$B33)-ROWS(Bills1[Date &lt;d&gt;])))&amp;"/"&amp;$C$51, "")), IFERROR(MONTH($M$2+32)&amp;"/"&amp;INDEX(Bills1[Date &lt;d&gt;], ROWS($B$1:$B33)), IFERROR(MONTH($M$2+32)&amp;"/"&amp;INDEX(DAY(Bills2[Date &lt;d&gt;]), (ROWS($B$1:$B33)-ROWS(Bills1[Date &lt;d&gt;]))), ""))), "")</f>
        <v/>
      </c>
      <c r="Q34" s="130" t="str">
        <f>IF(IFERROR(INDEX(Bills1[Amount],ROWS($B$1:$B33)),IFERROR(INDEX(Bills2[Amount],(ROWS($B$1:$B33)-ROWS(Bills1[Amount]))),))&gt;0,-IFERROR(INDEX(Bills1[Amount],ROWS($B$1:$B33)),IFERROR(INDEX(Bills2[Amount],(ROWS($B$1:$B33)-ROWS(Bills1[Amount]))),)), "")</f>
        <v/>
      </c>
      <c r="R34" s="130"/>
      <c r="S34" s="129" t="str">
        <f ca="1">IF(ISNUMBER(bills_curr_plus6[[#This Row],[bills]]),
IF(OR(MONTH($P$2)=12, YEAR($P$2)=YEAR(TODAY())+1),
IFERROR(MONTH($P$2+32)&amp;"/"&amp;INDEX(Bills1[Date &lt;d&gt;], ROWS($B$1:$B33))&amp;"/"&amp;$C$51,
IFERROR(MONTH($P$2+32)&amp;"/"&amp;INDEX(DAY(Bills2[Date &lt;d&gt;]), (ROWS($B$1:$B33)-ROWS(Bills1[Date &lt;d&gt;])))&amp;"/"&amp;$C$51, "")),
IFERROR(MONTH($P$2+32)&amp;"/"&amp;INDEX(Bills1[Date &lt;d&gt;], ROWS($B$1:$B33)),
IFERROR(MONTH($P$2+32)&amp;"/"&amp;INDEX(DAY(Bills2[Date &lt;d&gt;]), (ROWS($B$1:$B33)-ROWS(Bills1[Date &lt;d&gt;]))), ""))), "")</f>
        <v/>
      </c>
      <c r="T34" s="130" t="str">
        <f>IF(IFERROR(INDEX(Bills1[Amount],ROWS($B$1:$B33)),
IFERROR(INDEX(Bills2[Amount],(ROWS($B$1:$B33)-ROWS(Bills1[Amount]))),))&gt;0,
-IFERROR(INDEX(Bills1[Amount],ROWS($B$1:$B33)),
IFERROR(INDEX(Bills2[Amount],(ROWS($B$1:$B33)-ROWS(Bills1[Amount]))),)), "")</f>
        <v/>
      </c>
      <c r="V34" s="129">
        <v>43802</v>
      </c>
      <c r="W34" s="1">
        <f>DAY(income_future[[#This Row],[dates]])</f>
        <v>3</v>
      </c>
      <c r="X34" s="130">
        <f ca="1">SUMIF(income_curr[mod( )], MOD(V34, 14), income_curr[income])</f>
        <v>0</v>
      </c>
      <c r="Z34" s="132" t="str">
        <f ca="1">IF(TEXT(Table10[[#This Row],[dates]], "ddd")="Mon", 999999999, "")</f>
        <v/>
      </c>
      <c r="AA34" s="132" t="str">
        <f ca="1">IF(TODAY()=Table10[[#This Row],[dates]], TEXT(DATE(2019, MONTH(Table10[[#This Row],[dates]]), 1), "mmm"), IFERROR(IF(MONTH(Table10[[#This Row],[dates]])&lt;&gt;MONTH(AC33), TEXT(DATE(2019, MONTH(Table10[[#This Row],[dates]]), 1), "mmm"), ""), ""))</f>
        <v/>
      </c>
      <c r="AB34" s="133">
        <f ca="1">DAY('Data Preparation'!$AC34)</f>
        <v>12</v>
      </c>
      <c r="AC34" s="143">
        <f t="shared" ref="AC34:AC65" ca="1" si="1">TODAY()+(ROW(AB34)-ROW($AB$2))</f>
        <v>43811</v>
      </c>
      <c r="AD34"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4" s="136">
        <f ca="1">IFERROR(
IF(MONTH(Table10[[#This Row],[dates]])&lt;&gt;MONTH($AC33), Table10[[#This Row],[delta $]]+AE33-SUM(Bills3[Amount]), N("deducts other bills at the end of each month")+
IF(Table10[[#This Row],[delta $]]&lt;&gt;0, Table10[[#This Row],[delta $]]+AE33,
AE33)),
"")</f>
        <v>2568</v>
      </c>
      <c r="AF34" s="136">
        <f ca="1">Table10[[#This Row],[sum per date]]-IF(MONTH(Table10[[#This Row],[dates]])=MONTH(TODAY()),
SUMIF(Bills3[Paid?], "&lt;&gt;Y", Bills3[Amount]), SUM(Bills3[Amount]))</f>
        <v>1948</v>
      </c>
      <c r="AG34" s="136" t="e">
        <f ca="1">IF(AND(
Table10[[#This Row],[fluctuation]]=MIN(INDEX(Table10[fluctuation], MATCH(TODAY(),Table10[dates], 0)):INDEX(Table10[fluctuation], MATCH(end_date,Table10[dates], 0))),
OR(ISNA(INDEX($AF$2:AF33, MATCH(Table10[[#This Row],[fluctuation]], $AF$2:AF33, 0))), ROW(AG34)=2)),
Table10[[#This Row],[fluctuation]],
NA())</f>
        <v>#N/A</v>
      </c>
    </row>
    <row r="35" spans="1:33" x14ac:dyDescent="0.25">
      <c r="A35" s="129" t="str">
        <f ca="1">IF(ISNUMBER(bills_curr_mo[[#This Row],[bills]]), IFERROR(MONTH(TODAY())&amp;"/"&amp;INDEX(Bills1[Date &lt;d&gt;], ROWS(B$1:$B34)), IFERROR(MONTH(TODAY())&amp;"/"&amp;INDEX(DAY(Bills2[Date &lt;d&gt;]), (ROWS(B$1:$B34)-ROWS(Bills1[Date &lt;d&gt;]))), "")), "")</f>
        <v/>
      </c>
      <c r="B35" s="130" t="str">
        <f>IF(IFERROR(INDEX(Bills1[Amount],ROWS($B$1:$B34)),IFERROR(INDEX(Bills2[Amount],(ROWS($B$1:$B34)-ROWS(Bills1[Amount]))),))&gt;0,-IFERROR(INDEX(Bills1[Amount],ROWS($B$1:$B34)),IFERROR(INDEX(Bills2[Amount],(ROWS($B$1:$B34)-ROWS(Bills1[Amount]))),)), "")</f>
        <v/>
      </c>
      <c r="D35" s="129" t="str">
        <f ca="1">IF(ISNUMBER(bills_curr_plus1[[#This Row],[bills]]), IF(OR(MONTH($A$2)=12, YEAR($A$2)=YEAR(TODAY())+1), IFERROR(MONTH($A$2+32)&amp;"/"&amp;INDEX(Bills1[Date &lt;d&gt;], ROWS($B$1:$B34))&amp;"/"&amp;$C$51, IFERROR(MONTH($A$2+32)&amp;"/"&amp;INDEX(DAY(Bills2[Date &lt;d&gt;]), (ROWS($B$1:$B34)-ROWS(Bills1[Date &lt;d&gt;])))&amp;"/"&amp;$C$51, "")), IFERROR(MONTH($A$2+32)&amp;"/"&amp;INDEX(Bills1[Date &lt;d&gt;], ROWS($B$1:$B34)), IFERROR(MONTH($A$2+32)&amp;"/"&amp;INDEX(DAY(Bills2[Date &lt;d&gt;]), (ROWS($B$1:$B34)-ROWS(Bills1[Date &lt;d&gt;]))), ""))), "")</f>
        <v/>
      </c>
      <c r="E35" s="130" t="str">
        <f>IF(IFERROR(INDEX(Bills1[Amount],ROWS($B$1:$B34)),IFERROR(INDEX(Bills2[Amount],(ROWS($B$1:$B34)-ROWS(Bills1[Amount]))),))&gt;0,-IFERROR(INDEX(Bills1[Amount],ROWS($B$1:$B34)),IFERROR(INDEX(Bills2[Amount],(ROWS($B$1:$B34)-ROWS(Bills1[Amount]))),)), "")</f>
        <v/>
      </c>
      <c r="G35" s="129" t="str">
        <f ca="1">IF(ISNUMBER(bills_curr_plus2[[#This Row],[bills]]), IF(OR(MONTH($D$2)=12, YEAR($D$2)=YEAR(TODAY())+1), IFERROR(MONTH($D$2+32)&amp;"/"&amp;INDEX(Bills1[Date &lt;d&gt;], ROWS($B$1:$B34))&amp;"/"&amp;$C$51, IFERROR(MONTH($D$2+32)&amp;"/"&amp;INDEX(DAY(Bills2[Date &lt;d&gt;]), (ROWS($B$1:$B34)-ROWS(Bills1[Date &lt;d&gt;])))&amp;"/"&amp;$C$51, "")), IFERROR(MONTH($D$2+32)&amp;"/"&amp;INDEX(Bills1[Date &lt;d&gt;], ROWS($B$1:$B34)), IFERROR(MONTH($D$2+32)&amp;"/"&amp;INDEX(DAY(Bills2[Date &lt;d&gt;]), (ROWS($B$1:$B34)-ROWS(Bills1[Date &lt;d&gt;]))), ""))), "")</f>
        <v/>
      </c>
      <c r="H35" s="130" t="str">
        <f>IF(IFERROR(INDEX(Bills1[Amount],ROWS($B$1:$B34)),IFERROR(INDEX(Bills2[Amount],(ROWS($B$1:$B34)-ROWS(Bills1[Amount]))),))&gt;0,-IFERROR(INDEX(Bills1[Amount],ROWS($B$1:$B34)),IFERROR(INDEX(Bills2[Amount],(ROWS($B$1:$B34)-ROWS(Bills1[Amount]))),)), "")</f>
        <v/>
      </c>
      <c r="J35" s="129" t="str">
        <f ca="1">IF(ISNUMBER(bills_curr_plus3[[#This Row],[bills]]), IF(OR(MONTH($G$2)=12, YEAR($G$2)=YEAR(TODAY())+1), IFERROR(MONTH($G$2+32)&amp;"/"&amp;INDEX(Bills1[Date &lt;d&gt;], ROWS($B$1:$B34))&amp;"/"&amp;$C$51, IFERROR(MONTH($G$2+32)&amp;"/"&amp;INDEX(DAY(Bills2[Date &lt;d&gt;]), (ROWS($B$1:$B34)-ROWS(Bills1[Date &lt;d&gt;])))&amp;"/"&amp;$C$51, "")), IFERROR(MONTH($G$2+32)&amp;"/"&amp;INDEX(Bills1[Date &lt;d&gt;], ROWS($B$1:$B34)), IFERROR(MONTH($G$2+32)&amp;"/"&amp;INDEX(DAY(Bills2[Date &lt;d&gt;]), (ROWS($B$1:$B34)-ROWS(Bills1[Date &lt;d&gt;]))), ""))), "")</f>
        <v/>
      </c>
      <c r="K35" s="130" t="str">
        <f>IF(IFERROR(INDEX(Bills1[Amount],ROWS($B$1:$B34)),IFERROR(INDEX(Bills2[Amount],(ROWS($B$1:$B34)-ROWS(Bills1[Amount]))),))&gt;0,-IFERROR(INDEX(Bills1[Amount],ROWS($B$1:$B34)),IFERROR(INDEX(Bills2[Amount],(ROWS($B$1:$B34)-ROWS(Bills1[Amount]))),)), "")</f>
        <v/>
      </c>
      <c r="M35" s="129" t="str">
        <f ca="1">IF(ISNUMBER(bills_curr_plus4[[#This Row],[bills]]), IF(OR(MONTH($J$2)=12, YEAR($J$2)=YEAR(TODAY())+1), IFERROR(MONTH($J$2+32)&amp;"/"&amp;INDEX(Bills1[Date &lt;d&gt;], ROWS($B$1:$B34))&amp;"/"&amp;$C$51, IFERROR(MONTH($J$2+32)&amp;"/"&amp;INDEX(DAY(Bills2[Date &lt;d&gt;]), (ROWS($B$1:$B34)-ROWS(Bills1[Date &lt;d&gt;])))&amp;"/"&amp;$C$51, "")), IFERROR(MONTH($J$2+32)&amp;"/"&amp;INDEX(Bills1[Date &lt;d&gt;], ROWS($B$1:$B34)), IFERROR(MONTH($J$2+32)&amp;"/"&amp;INDEX(DAY(Bills2[Date &lt;d&gt;]), (ROWS($B$1:$B34)-ROWS(Bills1[Date &lt;d&gt;]))), ""))), "")</f>
        <v/>
      </c>
      <c r="N35" s="130" t="str">
        <f>IF(IFERROR(INDEX(Bills1[Amount],ROWS($B$1:$B34)),IFERROR(INDEX(Bills2[Amount],(ROWS($B$1:$B34)-ROWS(Bills1[Amount]))),))&gt;0,-IFERROR(INDEX(Bills1[Amount],ROWS($B$1:$B34)),IFERROR(INDEX(Bills2[Amount],(ROWS($B$1:$B34)-ROWS(Bills1[Amount]))),)), "")</f>
        <v/>
      </c>
      <c r="P35" s="129" t="str">
        <f ca="1">IF(ISNUMBER(bills_curr_plus5[[#This Row],[bills]]), IF(OR(MONTH($M$2)=12, YEAR($M$2)=YEAR(TODAY())+1), IFERROR(MONTH($M$2+32)&amp;"/"&amp;INDEX(Bills1[Date &lt;d&gt;], ROWS($B$1:$B34))&amp;"/"&amp;$C$51, IFERROR(MONTH($M$2+32)&amp;"/"&amp;INDEX(DAY(Bills2[Date &lt;d&gt;]), (ROWS($B$1:$B34)-ROWS(Bills1[Date &lt;d&gt;])))&amp;"/"&amp;$C$51, "")), IFERROR(MONTH($M$2+32)&amp;"/"&amp;INDEX(Bills1[Date &lt;d&gt;], ROWS($B$1:$B34)), IFERROR(MONTH($M$2+32)&amp;"/"&amp;INDEX(DAY(Bills2[Date &lt;d&gt;]), (ROWS($B$1:$B34)-ROWS(Bills1[Date &lt;d&gt;]))), ""))), "")</f>
        <v/>
      </c>
      <c r="Q35" s="130" t="str">
        <f>IF(IFERROR(INDEX(Bills1[Amount],ROWS($B$1:$B34)),IFERROR(INDEX(Bills2[Amount],(ROWS($B$1:$B34)-ROWS(Bills1[Amount]))),))&gt;0,-IFERROR(INDEX(Bills1[Amount],ROWS($B$1:$B34)),IFERROR(INDEX(Bills2[Amount],(ROWS($B$1:$B34)-ROWS(Bills1[Amount]))),)), "")</f>
        <v/>
      </c>
      <c r="R35" s="130"/>
      <c r="S35" s="129" t="str">
        <f ca="1">IF(ISNUMBER(bills_curr_plus6[[#This Row],[bills]]),
IF(OR(MONTH($P$2)=12, YEAR($P$2)=YEAR(TODAY())+1),
IFERROR(MONTH($P$2+32)&amp;"/"&amp;INDEX(Bills1[Date &lt;d&gt;], ROWS($B$1:$B34))&amp;"/"&amp;$C$51,
IFERROR(MONTH($P$2+32)&amp;"/"&amp;INDEX(DAY(Bills2[Date &lt;d&gt;]), (ROWS($B$1:$B34)-ROWS(Bills1[Date &lt;d&gt;])))&amp;"/"&amp;$C$51, "")),
IFERROR(MONTH($P$2+32)&amp;"/"&amp;INDEX(Bills1[Date &lt;d&gt;], ROWS($B$1:$B34)),
IFERROR(MONTH($P$2+32)&amp;"/"&amp;INDEX(DAY(Bills2[Date &lt;d&gt;]), (ROWS($B$1:$B34)-ROWS(Bills1[Date &lt;d&gt;]))), ""))), "")</f>
        <v/>
      </c>
      <c r="T35" s="130" t="str">
        <f>IF(IFERROR(INDEX(Bills1[Amount],ROWS($B$1:$B34)),
IFERROR(INDEX(Bills2[Amount],(ROWS($B$1:$B34)-ROWS(Bills1[Amount]))),))&gt;0,
-IFERROR(INDEX(Bills1[Amount],ROWS($B$1:$B34)),
IFERROR(INDEX(Bills2[Amount],(ROWS($B$1:$B34)-ROWS(Bills1[Amount]))),)), "")</f>
        <v/>
      </c>
      <c r="V35" s="129">
        <v>43803</v>
      </c>
      <c r="W35" s="1">
        <f>DAY(income_future[[#This Row],[dates]])</f>
        <v>4</v>
      </c>
      <c r="X35" s="130">
        <f ca="1">SUMIF(income_curr[mod( )], MOD(V35, 14), income_curr[income])</f>
        <v>0</v>
      </c>
      <c r="Z35" s="132" t="str">
        <f ca="1">IF(TEXT(Table10[[#This Row],[dates]], "ddd")="Mon", 999999999, "")</f>
        <v/>
      </c>
      <c r="AA35" s="132" t="str">
        <f ca="1">IF(TODAY()=Table10[[#This Row],[dates]], TEXT(DATE(2019, MONTH(Table10[[#This Row],[dates]]), 1), "mmm"), IFERROR(IF(MONTH(Table10[[#This Row],[dates]])&lt;&gt;MONTH(AC34), TEXT(DATE(2019, MONTH(Table10[[#This Row],[dates]]), 1), "mmm"), ""), ""))</f>
        <v/>
      </c>
      <c r="AB35" s="133">
        <f ca="1">DAY('Data Preparation'!$AC35)</f>
        <v>13</v>
      </c>
      <c r="AC35" s="143">
        <f t="shared" ca="1" si="1"/>
        <v>43812</v>
      </c>
      <c r="AD35"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5" s="136">
        <f ca="1">IFERROR(
IF(MONTH(Table10[[#This Row],[dates]])&lt;&gt;MONTH($AC34), Table10[[#This Row],[delta $]]+AE34-SUM(Bills3[Amount]), N("deducts other bills at the end of each month")+
IF(Table10[[#This Row],[delta $]]&lt;&gt;0, Table10[[#This Row],[delta $]]+AE34,
AE34)),
"")</f>
        <v>2568</v>
      </c>
      <c r="AF35" s="136">
        <f ca="1">Table10[[#This Row],[sum per date]]-IF(MONTH(Table10[[#This Row],[dates]])=MONTH(TODAY()),
SUMIF(Bills3[Paid?], "&lt;&gt;Y", Bills3[Amount]), SUM(Bills3[Amount]))</f>
        <v>1948</v>
      </c>
      <c r="AG35" s="136" t="e">
        <f ca="1">IF(AND(
Table10[[#This Row],[fluctuation]]=MIN(INDEX(Table10[fluctuation], MATCH(TODAY(),Table10[dates], 0)):INDEX(Table10[fluctuation], MATCH(end_date,Table10[dates], 0))),
OR(ISNA(INDEX($AF$2:AF34, MATCH(Table10[[#This Row],[fluctuation]], $AF$2:AF34, 0))), ROW(AG35)=2)),
Table10[[#This Row],[fluctuation]],
NA())</f>
        <v>#N/A</v>
      </c>
    </row>
    <row r="36" spans="1:33" x14ac:dyDescent="0.25">
      <c r="A36" s="129" t="str">
        <f ca="1">IF(ISNUMBER(bills_curr_mo[[#This Row],[bills]]), IFERROR(MONTH(TODAY())&amp;"/"&amp;INDEX(Bills1[Date &lt;d&gt;], ROWS(B$1:$B35)), IFERROR(MONTH(TODAY())&amp;"/"&amp;INDEX(DAY(Bills2[Date &lt;d&gt;]), (ROWS(B$1:$B35)-ROWS(Bills1[Date &lt;d&gt;]))), "")), "")</f>
        <v/>
      </c>
      <c r="B36" s="130" t="str">
        <f>IF(IFERROR(INDEX(Bills1[Amount],ROWS($B$1:$B35)),IFERROR(INDEX(Bills2[Amount],(ROWS($B$1:$B35)-ROWS(Bills1[Amount]))),))&gt;0,-IFERROR(INDEX(Bills1[Amount],ROWS($B$1:$B35)),IFERROR(INDEX(Bills2[Amount],(ROWS($B$1:$B35)-ROWS(Bills1[Amount]))),)), "")</f>
        <v/>
      </c>
      <c r="D36" s="129" t="str">
        <f ca="1">IF(ISNUMBER(bills_curr_plus1[[#This Row],[bills]]), IF(OR(MONTH($A$2)=12, YEAR($A$2)=YEAR(TODAY())+1), IFERROR(MONTH($A$2+32)&amp;"/"&amp;INDEX(Bills1[Date &lt;d&gt;], ROWS($B$1:$B35))&amp;"/"&amp;$C$51, IFERROR(MONTH($A$2+32)&amp;"/"&amp;INDEX(DAY(Bills2[Date &lt;d&gt;]), (ROWS($B$1:$B35)-ROWS(Bills1[Date &lt;d&gt;])))&amp;"/"&amp;$C$51, "")), IFERROR(MONTH($A$2+32)&amp;"/"&amp;INDEX(Bills1[Date &lt;d&gt;], ROWS($B$1:$B35)), IFERROR(MONTH($A$2+32)&amp;"/"&amp;INDEX(DAY(Bills2[Date &lt;d&gt;]), (ROWS($B$1:$B35)-ROWS(Bills1[Date &lt;d&gt;]))), ""))), "")</f>
        <v/>
      </c>
      <c r="E36" s="130" t="str">
        <f>IF(IFERROR(INDEX(Bills1[Amount],ROWS($B$1:$B35)),IFERROR(INDEX(Bills2[Amount],(ROWS($B$1:$B35)-ROWS(Bills1[Amount]))),))&gt;0,-IFERROR(INDEX(Bills1[Amount],ROWS($B$1:$B35)),IFERROR(INDEX(Bills2[Amount],(ROWS($B$1:$B35)-ROWS(Bills1[Amount]))),)), "")</f>
        <v/>
      </c>
      <c r="G36" s="129" t="str">
        <f ca="1">IF(ISNUMBER(bills_curr_plus2[[#This Row],[bills]]), IF(OR(MONTH($D$2)=12, YEAR($D$2)=YEAR(TODAY())+1), IFERROR(MONTH($D$2+32)&amp;"/"&amp;INDEX(Bills1[Date &lt;d&gt;], ROWS($B$1:$B35))&amp;"/"&amp;$C$51, IFERROR(MONTH($D$2+32)&amp;"/"&amp;INDEX(DAY(Bills2[Date &lt;d&gt;]), (ROWS($B$1:$B35)-ROWS(Bills1[Date &lt;d&gt;])))&amp;"/"&amp;$C$51, "")), IFERROR(MONTH($D$2+32)&amp;"/"&amp;INDEX(Bills1[Date &lt;d&gt;], ROWS($B$1:$B35)), IFERROR(MONTH($D$2+32)&amp;"/"&amp;INDEX(DAY(Bills2[Date &lt;d&gt;]), (ROWS($B$1:$B35)-ROWS(Bills1[Date &lt;d&gt;]))), ""))), "")</f>
        <v/>
      </c>
      <c r="H36" s="130" t="str">
        <f>IF(IFERROR(INDEX(Bills1[Amount],ROWS($B$1:$B35)),IFERROR(INDEX(Bills2[Amount],(ROWS($B$1:$B35)-ROWS(Bills1[Amount]))),))&gt;0,-IFERROR(INDEX(Bills1[Amount],ROWS($B$1:$B35)),IFERROR(INDEX(Bills2[Amount],(ROWS($B$1:$B35)-ROWS(Bills1[Amount]))),)), "")</f>
        <v/>
      </c>
      <c r="J36" s="129" t="str">
        <f ca="1">IF(ISNUMBER(bills_curr_plus3[[#This Row],[bills]]), IF(OR(MONTH($G$2)=12, YEAR($G$2)=YEAR(TODAY())+1), IFERROR(MONTH($G$2+32)&amp;"/"&amp;INDEX(Bills1[Date &lt;d&gt;], ROWS($B$1:$B35))&amp;"/"&amp;$C$51, IFERROR(MONTH($G$2+32)&amp;"/"&amp;INDEX(DAY(Bills2[Date &lt;d&gt;]), (ROWS($B$1:$B35)-ROWS(Bills1[Date &lt;d&gt;])))&amp;"/"&amp;$C$51, "")), IFERROR(MONTH($G$2+32)&amp;"/"&amp;INDEX(Bills1[Date &lt;d&gt;], ROWS($B$1:$B35)), IFERROR(MONTH($G$2+32)&amp;"/"&amp;INDEX(DAY(Bills2[Date &lt;d&gt;]), (ROWS($B$1:$B35)-ROWS(Bills1[Date &lt;d&gt;]))), ""))), "")</f>
        <v/>
      </c>
      <c r="K36" s="130" t="str">
        <f>IF(IFERROR(INDEX(Bills1[Amount],ROWS($B$1:$B35)),IFERROR(INDEX(Bills2[Amount],(ROWS($B$1:$B35)-ROWS(Bills1[Amount]))),))&gt;0,-IFERROR(INDEX(Bills1[Amount],ROWS($B$1:$B35)),IFERROR(INDEX(Bills2[Amount],(ROWS($B$1:$B35)-ROWS(Bills1[Amount]))),)), "")</f>
        <v/>
      </c>
      <c r="M36" s="129" t="str">
        <f ca="1">IF(ISNUMBER(bills_curr_plus4[[#This Row],[bills]]), IF(OR(MONTH($J$2)=12, YEAR($J$2)=YEAR(TODAY())+1), IFERROR(MONTH($J$2+32)&amp;"/"&amp;INDEX(Bills1[Date &lt;d&gt;], ROWS($B$1:$B35))&amp;"/"&amp;$C$51, IFERROR(MONTH($J$2+32)&amp;"/"&amp;INDEX(DAY(Bills2[Date &lt;d&gt;]), (ROWS($B$1:$B35)-ROWS(Bills1[Date &lt;d&gt;])))&amp;"/"&amp;$C$51, "")), IFERROR(MONTH($J$2+32)&amp;"/"&amp;INDEX(Bills1[Date &lt;d&gt;], ROWS($B$1:$B35)), IFERROR(MONTH($J$2+32)&amp;"/"&amp;INDEX(DAY(Bills2[Date &lt;d&gt;]), (ROWS($B$1:$B35)-ROWS(Bills1[Date &lt;d&gt;]))), ""))), "")</f>
        <v/>
      </c>
      <c r="N36" s="130" t="str">
        <f>IF(IFERROR(INDEX(Bills1[Amount],ROWS($B$1:$B35)),IFERROR(INDEX(Bills2[Amount],(ROWS($B$1:$B35)-ROWS(Bills1[Amount]))),))&gt;0,-IFERROR(INDEX(Bills1[Amount],ROWS($B$1:$B35)),IFERROR(INDEX(Bills2[Amount],(ROWS($B$1:$B35)-ROWS(Bills1[Amount]))),)), "")</f>
        <v/>
      </c>
      <c r="P36" s="129" t="str">
        <f ca="1">IF(ISNUMBER(bills_curr_plus5[[#This Row],[bills]]), IF(OR(MONTH($M$2)=12, YEAR($M$2)=YEAR(TODAY())+1), IFERROR(MONTH($M$2+32)&amp;"/"&amp;INDEX(Bills1[Date &lt;d&gt;], ROWS($B$1:$B35))&amp;"/"&amp;$C$51, IFERROR(MONTH($M$2+32)&amp;"/"&amp;INDEX(DAY(Bills2[Date &lt;d&gt;]), (ROWS($B$1:$B35)-ROWS(Bills1[Date &lt;d&gt;])))&amp;"/"&amp;$C$51, "")), IFERROR(MONTH($M$2+32)&amp;"/"&amp;INDEX(Bills1[Date &lt;d&gt;], ROWS($B$1:$B35)), IFERROR(MONTH($M$2+32)&amp;"/"&amp;INDEX(DAY(Bills2[Date &lt;d&gt;]), (ROWS($B$1:$B35)-ROWS(Bills1[Date &lt;d&gt;]))), ""))), "")</f>
        <v/>
      </c>
      <c r="Q36" s="130" t="str">
        <f>IF(IFERROR(INDEX(Bills1[Amount],ROWS($B$1:$B35)),IFERROR(INDEX(Bills2[Amount],(ROWS($B$1:$B35)-ROWS(Bills1[Amount]))),))&gt;0,-IFERROR(INDEX(Bills1[Amount],ROWS($B$1:$B35)),IFERROR(INDEX(Bills2[Amount],(ROWS($B$1:$B35)-ROWS(Bills1[Amount]))),)), "")</f>
        <v/>
      </c>
      <c r="R36" s="130"/>
      <c r="S36" s="129" t="str">
        <f ca="1">IF(ISNUMBER(bills_curr_plus6[[#This Row],[bills]]),
IF(OR(MONTH($P$2)=12, YEAR($P$2)=YEAR(TODAY())+1),
IFERROR(MONTH($P$2+32)&amp;"/"&amp;INDEX(Bills1[Date &lt;d&gt;], ROWS($B$1:$B35))&amp;"/"&amp;$C$51,
IFERROR(MONTH($P$2+32)&amp;"/"&amp;INDEX(DAY(Bills2[Date &lt;d&gt;]), (ROWS($B$1:$B35)-ROWS(Bills1[Date &lt;d&gt;])))&amp;"/"&amp;$C$51, "")),
IFERROR(MONTH($P$2+32)&amp;"/"&amp;INDEX(Bills1[Date &lt;d&gt;], ROWS($B$1:$B35)),
IFERROR(MONTH($P$2+32)&amp;"/"&amp;INDEX(DAY(Bills2[Date &lt;d&gt;]), (ROWS($B$1:$B35)-ROWS(Bills1[Date &lt;d&gt;]))), ""))), "")</f>
        <v/>
      </c>
      <c r="T36" s="130" t="str">
        <f>IF(IFERROR(INDEX(Bills1[Amount],ROWS($B$1:$B35)),
IFERROR(INDEX(Bills2[Amount],(ROWS($B$1:$B35)-ROWS(Bills1[Amount]))),))&gt;0,
-IFERROR(INDEX(Bills1[Amount],ROWS($B$1:$B35)),
IFERROR(INDEX(Bills2[Amount],(ROWS($B$1:$B35)-ROWS(Bills1[Amount]))),)), "")</f>
        <v/>
      </c>
      <c r="V36" s="129">
        <v>43804</v>
      </c>
      <c r="W36" s="1">
        <f>DAY(income_future[[#This Row],[dates]])</f>
        <v>5</v>
      </c>
      <c r="X36" s="130">
        <f ca="1">SUMIF(income_curr[mod( )], MOD(V36, 14), income_curr[income])</f>
        <v>0</v>
      </c>
      <c r="Z36" s="132" t="str">
        <f ca="1">IF(TEXT(Table10[[#This Row],[dates]], "ddd")="Mon", 999999999, "")</f>
        <v/>
      </c>
      <c r="AA36" s="132" t="str">
        <f ca="1">IF(TODAY()=Table10[[#This Row],[dates]], TEXT(DATE(2019, MONTH(Table10[[#This Row],[dates]]), 1), "mmm"), IFERROR(IF(MONTH(Table10[[#This Row],[dates]])&lt;&gt;MONTH(AC35), TEXT(DATE(2019, MONTH(Table10[[#This Row],[dates]]), 1), "mmm"), ""), ""))</f>
        <v/>
      </c>
      <c r="AB36" s="133">
        <f ca="1">DAY('Data Preparation'!$AC36)</f>
        <v>14</v>
      </c>
      <c r="AC36" s="143">
        <f t="shared" ca="1" si="1"/>
        <v>43813</v>
      </c>
      <c r="AD36"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36" s="136">
        <f ca="1">IFERROR(
IF(MONTH(Table10[[#This Row],[dates]])&lt;&gt;MONTH($AC35), Table10[[#This Row],[delta $]]+AE35-SUM(Bills3[Amount]), N("deducts other bills at the end of each month")+
IF(Table10[[#This Row],[delta $]]&lt;&gt;0, Table10[[#This Row],[delta $]]+AE35,
AE35)),
"")</f>
        <v>3568</v>
      </c>
      <c r="AF36" s="136">
        <f ca="1">Table10[[#This Row],[sum per date]]-IF(MONTH(Table10[[#This Row],[dates]])=MONTH(TODAY()),
SUMIF(Bills3[Paid?], "&lt;&gt;Y", Bills3[Amount]), SUM(Bills3[Amount]))</f>
        <v>2948</v>
      </c>
      <c r="AG36" s="136" t="e">
        <f ca="1">IF(AND(
Table10[[#This Row],[fluctuation]]=MIN(INDEX(Table10[fluctuation], MATCH(TODAY(),Table10[dates], 0)):INDEX(Table10[fluctuation], MATCH(end_date,Table10[dates], 0))),
OR(ISNA(INDEX($AF$2:AF35, MATCH(Table10[[#This Row],[fluctuation]], $AF$2:AF35, 0))), ROW(AG36)=2)),
Table10[[#This Row],[fluctuation]],
NA())</f>
        <v>#N/A</v>
      </c>
    </row>
    <row r="37" spans="1:33" x14ac:dyDescent="0.25">
      <c r="A37" s="129" t="str">
        <f ca="1">IF(ISNUMBER(bills_curr_mo[[#This Row],[bills]]), IFERROR(MONTH(TODAY())&amp;"/"&amp;INDEX(Bills1[Date &lt;d&gt;], ROWS(B$1:$B36)), IFERROR(MONTH(TODAY())&amp;"/"&amp;INDEX(DAY(Bills2[Date &lt;d&gt;]), (ROWS(B$1:$B36)-ROWS(Bills1[Date &lt;d&gt;]))), "")), "")</f>
        <v/>
      </c>
      <c r="B37" s="130" t="str">
        <f>IF(IFERROR(INDEX(Bills1[Amount],ROWS($B$1:$B36)),IFERROR(INDEX(Bills2[Amount],(ROWS($B$1:$B36)-ROWS(Bills1[Amount]))),))&gt;0,-IFERROR(INDEX(Bills1[Amount],ROWS($B$1:$B36)),IFERROR(INDEX(Bills2[Amount],(ROWS($B$1:$B36)-ROWS(Bills1[Amount]))),)), "")</f>
        <v/>
      </c>
      <c r="D37" s="129" t="str">
        <f ca="1">IF(ISNUMBER(bills_curr_plus1[[#This Row],[bills]]), IF(OR(MONTH($A$2)=12, YEAR($A$2)=YEAR(TODAY())+1), IFERROR(MONTH($A$2+32)&amp;"/"&amp;INDEX(Bills1[Date &lt;d&gt;], ROWS($B$1:$B36))&amp;"/"&amp;$C$51, IFERROR(MONTH($A$2+32)&amp;"/"&amp;INDEX(DAY(Bills2[Date &lt;d&gt;]), (ROWS($B$1:$B36)-ROWS(Bills1[Date &lt;d&gt;])))&amp;"/"&amp;$C$51, "")), IFERROR(MONTH($A$2+32)&amp;"/"&amp;INDEX(Bills1[Date &lt;d&gt;], ROWS($B$1:$B36)), IFERROR(MONTH($A$2+32)&amp;"/"&amp;INDEX(DAY(Bills2[Date &lt;d&gt;]), (ROWS($B$1:$B36)-ROWS(Bills1[Date &lt;d&gt;]))), ""))), "")</f>
        <v/>
      </c>
      <c r="E37" s="130" t="str">
        <f>IF(IFERROR(INDEX(Bills1[Amount],ROWS($B$1:$B36)),IFERROR(INDEX(Bills2[Amount],(ROWS($B$1:$B36)-ROWS(Bills1[Amount]))),))&gt;0,-IFERROR(INDEX(Bills1[Amount],ROWS($B$1:$B36)),IFERROR(INDEX(Bills2[Amount],(ROWS($B$1:$B36)-ROWS(Bills1[Amount]))),)), "")</f>
        <v/>
      </c>
      <c r="G37" s="129" t="str">
        <f ca="1">IF(ISNUMBER(bills_curr_plus2[[#This Row],[bills]]), IF(OR(MONTH($D$2)=12, YEAR($D$2)=YEAR(TODAY())+1), IFERROR(MONTH($D$2+32)&amp;"/"&amp;INDEX(Bills1[Date &lt;d&gt;], ROWS($B$1:$B36))&amp;"/"&amp;$C$51, IFERROR(MONTH($D$2+32)&amp;"/"&amp;INDEX(DAY(Bills2[Date &lt;d&gt;]), (ROWS($B$1:$B36)-ROWS(Bills1[Date &lt;d&gt;])))&amp;"/"&amp;$C$51, "")), IFERROR(MONTH($D$2+32)&amp;"/"&amp;INDEX(Bills1[Date &lt;d&gt;], ROWS($B$1:$B36)), IFERROR(MONTH($D$2+32)&amp;"/"&amp;INDEX(DAY(Bills2[Date &lt;d&gt;]), (ROWS($B$1:$B36)-ROWS(Bills1[Date &lt;d&gt;]))), ""))), "")</f>
        <v/>
      </c>
      <c r="H37" s="130" t="str">
        <f>IF(IFERROR(INDEX(Bills1[Amount],ROWS($B$1:$B36)),IFERROR(INDEX(Bills2[Amount],(ROWS($B$1:$B36)-ROWS(Bills1[Amount]))),))&gt;0,-IFERROR(INDEX(Bills1[Amount],ROWS($B$1:$B36)),IFERROR(INDEX(Bills2[Amount],(ROWS($B$1:$B36)-ROWS(Bills1[Amount]))),)), "")</f>
        <v/>
      </c>
      <c r="J37" s="129" t="str">
        <f ca="1">IF(ISNUMBER(bills_curr_plus3[[#This Row],[bills]]), IF(OR(MONTH($G$2)=12, YEAR($G$2)=YEAR(TODAY())+1), IFERROR(MONTH($G$2+32)&amp;"/"&amp;INDEX(Bills1[Date &lt;d&gt;], ROWS($B$1:$B36))&amp;"/"&amp;$C$51, IFERROR(MONTH($G$2+32)&amp;"/"&amp;INDEX(DAY(Bills2[Date &lt;d&gt;]), (ROWS($B$1:$B36)-ROWS(Bills1[Date &lt;d&gt;])))&amp;"/"&amp;$C$51, "")), IFERROR(MONTH($G$2+32)&amp;"/"&amp;INDEX(Bills1[Date &lt;d&gt;], ROWS($B$1:$B36)), IFERROR(MONTH($G$2+32)&amp;"/"&amp;INDEX(DAY(Bills2[Date &lt;d&gt;]), (ROWS($B$1:$B36)-ROWS(Bills1[Date &lt;d&gt;]))), ""))), "")</f>
        <v/>
      </c>
      <c r="K37" s="130" t="str">
        <f>IF(IFERROR(INDEX(Bills1[Amount],ROWS($B$1:$B36)),IFERROR(INDEX(Bills2[Amount],(ROWS($B$1:$B36)-ROWS(Bills1[Amount]))),))&gt;0,-IFERROR(INDEX(Bills1[Amount],ROWS($B$1:$B36)),IFERROR(INDEX(Bills2[Amount],(ROWS($B$1:$B36)-ROWS(Bills1[Amount]))),)), "")</f>
        <v/>
      </c>
      <c r="M37" s="129" t="str">
        <f ca="1">IF(ISNUMBER(bills_curr_plus4[[#This Row],[bills]]), IF(OR(MONTH($J$2)=12, YEAR($J$2)=YEAR(TODAY())+1), IFERROR(MONTH($J$2+32)&amp;"/"&amp;INDEX(Bills1[Date &lt;d&gt;], ROWS($B$1:$B36))&amp;"/"&amp;$C$51, IFERROR(MONTH($J$2+32)&amp;"/"&amp;INDEX(DAY(Bills2[Date &lt;d&gt;]), (ROWS($B$1:$B36)-ROWS(Bills1[Date &lt;d&gt;])))&amp;"/"&amp;$C$51, "")), IFERROR(MONTH($J$2+32)&amp;"/"&amp;INDEX(Bills1[Date &lt;d&gt;], ROWS($B$1:$B36)), IFERROR(MONTH($J$2+32)&amp;"/"&amp;INDEX(DAY(Bills2[Date &lt;d&gt;]), (ROWS($B$1:$B36)-ROWS(Bills1[Date &lt;d&gt;]))), ""))), "")</f>
        <v/>
      </c>
      <c r="N37" s="130" t="str">
        <f>IF(IFERROR(INDEX(Bills1[Amount],ROWS($B$1:$B36)),IFERROR(INDEX(Bills2[Amount],(ROWS($B$1:$B36)-ROWS(Bills1[Amount]))),))&gt;0,-IFERROR(INDEX(Bills1[Amount],ROWS($B$1:$B36)),IFERROR(INDEX(Bills2[Amount],(ROWS($B$1:$B36)-ROWS(Bills1[Amount]))),)), "")</f>
        <v/>
      </c>
      <c r="P37" s="129" t="str">
        <f ca="1">IF(ISNUMBER(bills_curr_plus5[[#This Row],[bills]]), IF(OR(MONTH($M$2)=12, YEAR($M$2)=YEAR(TODAY())+1), IFERROR(MONTH($M$2+32)&amp;"/"&amp;INDEX(Bills1[Date &lt;d&gt;], ROWS($B$1:$B36))&amp;"/"&amp;$C$51, IFERROR(MONTH($M$2+32)&amp;"/"&amp;INDEX(DAY(Bills2[Date &lt;d&gt;]), (ROWS($B$1:$B36)-ROWS(Bills1[Date &lt;d&gt;])))&amp;"/"&amp;$C$51, "")), IFERROR(MONTH($M$2+32)&amp;"/"&amp;INDEX(Bills1[Date &lt;d&gt;], ROWS($B$1:$B36)), IFERROR(MONTH($M$2+32)&amp;"/"&amp;INDEX(DAY(Bills2[Date &lt;d&gt;]), (ROWS($B$1:$B36)-ROWS(Bills1[Date &lt;d&gt;]))), ""))), "")</f>
        <v/>
      </c>
      <c r="Q37" s="130" t="str">
        <f>IF(IFERROR(INDEX(Bills1[Amount],ROWS($B$1:$B36)),IFERROR(INDEX(Bills2[Amount],(ROWS($B$1:$B36)-ROWS(Bills1[Amount]))),))&gt;0,-IFERROR(INDEX(Bills1[Amount],ROWS($B$1:$B36)),IFERROR(INDEX(Bills2[Amount],(ROWS($B$1:$B36)-ROWS(Bills1[Amount]))),)), "")</f>
        <v/>
      </c>
      <c r="R37" s="130"/>
      <c r="S37" s="129" t="str">
        <f ca="1">IF(ISNUMBER(bills_curr_plus6[[#This Row],[bills]]),
IF(OR(MONTH($P$2)=12, YEAR($P$2)=YEAR(TODAY())+1),
IFERROR(MONTH($P$2+32)&amp;"/"&amp;INDEX(Bills1[Date &lt;d&gt;], ROWS($B$1:$B36))&amp;"/"&amp;$C$51,
IFERROR(MONTH($P$2+32)&amp;"/"&amp;INDEX(DAY(Bills2[Date &lt;d&gt;]), (ROWS($B$1:$B36)-ROWS(Bills1[Date &lt;d&gt;])))&amp;"/"&amp;$C$51, "")),
IFERROR(MONTH($P$2+32)&amp;"/"&amp;INDEX(Bills1[Date &lt;d&gt;], ROWS($B$1:$B36)),
IFERROR(MONTH($P$2+32)&amp;"/"&amp;INDEX(DAY(Bills2[Date &lt;d&gt;]), (ROWS($B$1:$B36)-ROWS(Bills1[Date &lt;d&gt;]))), ""))), "")</f>
        <v/>
      </c>
      <c r="T37" s="130" t="str">
        <f>IF(IFERROR(INDEX(Bills1[Amount],ROWS($B$1:$B36)),
IFERROR(INDEX(Bills2[Amount],(ROWS($B$1:$B36)-ROWS(Bills1[Amount]))),))&gt;0,
-IFERROR(INDEX(Bills1[Amount],ROWS($B$1:$B36)),
IFERROR(INDEX(Bills2[Amount],(ROWS($B$1:$B36)-ROWS(Bills1[Amount]))),)), "")</f>
        <v/>
      </c>
      <c r="V37" s="129">
        <v>43805</v>
      </c>
      <c r="W37" s="1">
        <f>DAY(income_future[[#This Row],[dates]])</f>
        <v>6</v>
      </c>
      <c r="X37" s="130">
        <f ca="1">SUMIF(income_curr[mod( )], MOD(V37, 14), income_curr[income])</f>
        <v>0</v>
      </c>
      <c r="Z37" s="132" t="str">
        <f ca="1">IF(TEXT(Table10[[#This Row],[dates]], "ddd")="Mon", 999999999, "")</f>
        <v/>
      </c>
      <c r="AA37" s="132" t="str">
        <f ca="1">IF(TODAY()=Table10[[#This Row],[dates]], TEXT(DATE(2019, MONTH(Table10[[#This Row],[dates]]), 1), "mmm"), IFERROR(IF(MONTH(Table10[[#This Row],[dates]])&lt;&gt;MONTH(AC36), TEXT(DATE(2019, MONTH(Table10[[#This Row],[dates]]), 1), "mmm"), ""), ""))</f>
        <v/>
      </c>
      <c r="AB37" s="133">
        <f ca="1">DAY('Data Preparation'!$AC37)</f>
        <v>15</v>
      </c>
      <c r="AC37" s="143">
        <f t="shared" ca="1" si="1"/>
        <v>43814</v>
      </c>
      <c r="AD37"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37" s="136">
        <f ca="1">IFERROR(
IF(MONTH(Table10[[#This Row],[dates]])&lt;&gt;MONTH($AC36), Table10[[#This Row],[delta $]]+AE36-SUM(Bills3[Amount]), N("deducts other bills at the end of each month")+
IF(Table10[[#This Row],[delta $]]&lt;&gt;0, Table10[[#This Row],[delta $]]+AE36,
AE36)),
"")</f>
        <v>3356</v>
      </c>
      <c r="AF37" s="136">
        <f ca="1">Table10[[#This Row],[sum per date]]-IF(MONTH(Table10[[#This Row],[dates]])=MONTH(TODAY()),
SUMIF(Bills3[Paid?], "&lt;&gt;Y", Bills3[Amount]), SUM(Bills3[Amount]))</f>
        <v>2736</v>
      </c>
      <c r="AG37" s="136" t="e">
        <f ca="1">IF(AND(
Table10[[#This Row],[fluctuation]]=MIN(INDEX(Table10[fluctuation], MATCH(TODAY(),Table10[dates], 0)):INDEX(Table10[fluctuation], MATCH(end_date,Table10[dates], 0))),
OR(ISNA(INDEX($AF$2:AF36, MATCH(Table10[[#This Row],[fluctuation]], $AF$2:AF36, 0))), ROW(AG37)=2)),
Table10[[#This Row],[fluctuation]],
NA())</f>
        <v>#N/A</v>
      </c>
    </row>
    <row r="38" spans="1:33" x14ac:dyDescent="0.25">
      <c r="A38" s="129" t="str">
        <f ca="1">IF(ISNUMBER(bills_curr_mo[[#This Row],[bills]]), IFERROR(MONTH(TODAY())&amp;"/"&amp;INDEX(Bills1[Date &lt;d&gt;], ROWS(B$1:$B37)), IFERROR(MONTH(TODAY())&amp;"/"&amp;INDEX(DAY(Bills2[Date &lt;d&gt;]), (ROWS(B$1:$B37)-ROWS(Bills1[Date &lt;d&gt;]))), "")), "")</f>
        <v/>
      </c>
      <c r="B38" s="130" t="str">
        <f>IF(IFERROR(INDEX(Bills1[Amount],ROWS($B$1:$B37)),IFERROR(INDEX(Bills2[Amount],(ROWS($B$1:$B37)-ROWS(Bills1[Amount]))),))&gt;0,-IFERROR(INDEX(Bills1[Amount],ROWS($B$1:$B37)),IFERROR(INDEX(Bills2[Amount],(ROWS($B$1:$B37)-ROWS(Bills1[Amount]))),)), "")</f>
        <v/>
      </c>
      <c r="D38" s="129" t="str">
        <f ca="1">IF(ISNUMBER(bills_curr_plus1[[#This Row],[bills]]), IF(OR(MONTH($A$2)=12, YEAR($A$2)=YEAR(TODAY())+1), IFERROR(MONTH($A$2+32)&amp;"/"&amp;INDEX(Bills1[Date &lt;d&gt;], ROWS($B$1:$B37))&amp;"/"&amp;$C$51, IFERROR(MONTH($A$2+32)&amp;"/"&amp;INDEX(DAY(Bills2[Date &lt;d&gt;]), (ROWS($B$1:$B37)-ROWS(Bills1[Date &lt;d&gt;])))&amp;"/"&amp;$C$51, "")), IFERROR(MONTH($A$2+32)&amp;"/"&amp;INDEX(Bills1[Date &lt;d&gt;], ROWS($B$1:$B37)), IFERROR(MONTH($A$2+32)&amp;"/"&amp;INDEX(DAY(Bills2[Date &lt;d&gt;]), (ROWS($B$1:$B37)-ROWS(Bills1[Date &lt;d&gt;]))), ""))), "")</f>
        <v/>
      </c>
      <c r="E38" s="130" t="str">
        <f>IF(IFERROR(INDEX(Bills1[Amount],ROWS($B$1:$B37)),IFERROR(INDEX(Bills2[Amount],(ROWS($B$1:$B37)-ROWS(Bills1[Amount]))),))&gt;0,-IFERROR(INDEX(Bills1[Amount],ROWS($B$1:$B37)),IFERROR(INDEX(Bills2[Amount],(ROWS($B$1:$B37)-ROWS(Bills1[Amount]))),)), "")</f>
        <v/>
      </c>
      <c r="G38" s="129" t="str">
        <f ca="1">IF(ISNUMBER(bills_curr_plus2[[#This Row],[bills]]), IF(OR(MONTH($D$2)=12, YEAR($D$2)=YEAR(TODAY())+1), IFERROR(MONTH($D$2+32)&amp;"/"&amp;INDEX(Bills1[Date &lt;d&gt;], ROWS($B$1:$B37))&amp;"/"&amp;$C$51, IFERROR(MONTH($D$2+32)&amp;"/"&amp;INDEX(DAY(Bills2[Date &lt;d&gt;]), (ROWS($B$1:$B37)-ROWS(Bills1[Date &lt;d&gt;])))&amp;"/"&amp;$C$51, "")), IFERROR(MONTH($D$2+32)&amp;"/"&amp;INDEX(Bills1[Date &lt;d&gt;], ROWS($B$1:$B37)), IFERROR(MONTH($D$2+32)&amp;"/"&amp;INDEX(DAY(Bills2[Date &lt;d&gt;]), (ROWS($B$1:$B37)-ROWS(Bills1[Date &lt;d&gt;]))), ""))), "")</f>
        <v/>
      </c>
      <c r="H38" s="130" t="str">
        <f>IF(IFERROR(INDEX(Bills1[Amount],ROWS($B$1:$B37)),IFERROR(INDEX(Bills2[Amount],(ROWS($B$1:$B37)-ROWS(Bills1[Amount]))),))&gt;0,-IFERROR(INDEX(Bills1[Amount],ROWS($B$1:$B37)),IFERROR(INDEX(Bills2[Amount],(ROWS($B$1:$B37)-ROWS(Bills1[Amount]))),)), "")</f>
        <v/>
      </c>
      <c r="J38" s="129" t="str">
        <f ca="1">IF(ISNUMBER(bills_curr_plus3[[#This Row],[bills]]), IF(OR(MONTH($G$2)=12, YEAR($G$2)=YEAR(TODAY())+1), IFERROR(MONTH($G$2+32)&amp;"/"&amp;INDEX(Bills1[Date &lt;d&gt;], ROWS($B$1:$B37))&amp;"/"&amp;$C$51, IFERROR(MONTH($G$2+32)&amp;"/"&amp;INDEX(DAY(Bills2[Date &lt;d&gt;]), (ROWS($B$1:$B37)-ROWS(Bills1[Date &lt;d&gt;])))&amp;"/"&amp;$C$51, "")), IFERROR(MONTH($G$2+32)&amp;"/"&amp;INDEX(Bills1[Date &lt;d&gt;], ROWS($B$1:$B37)), IFERROR(MONTH($G$2+32)&amp;"/"&amp;INDEX(DAY(Bills2[Date &lt;d&gt;]), (ROWS($B$1:$B37)-ROWS(Bills1[Date &lt;d&gt;]))), ""))), "")</f>
        <v/>
      </c>
      <c r="K38" s="130" t="str">
        <f>IF(IFERROR(INDEX(Bills1[Amount],ROWS($B$1:$B37)),IFERROR(INDEX(Bills2[Amount],(ROWS($B$1:$B37)-ROWS(Bills1[Amount]))),))&gt;0,-IFERROR(INDEX(Bills1[Amount],ROWS($B$1:$B37)),IFERROR(INDEX(Bills2[Amount],(ROWS($B$1:$B37)-ROWS(Bills1[Amount]))),)), "")</f>
        <v/>
      </c>
      <c r="M38" s="129" t="str">
        <f ca="1">IF(ISNUMBER(bills_curr_plus4[[#This Row],[bills]]), IF(OR(MONTH($J$2)=12, YEAR($J$2)=YEAR(TODAY())+1), IFERROR(MONTH($J$2+32)&amp;"/"&amp;INDEX(Bills1[Date &lt;d&gt;], ROWS($B$1:$B37))&amp;"/"&amp;$C$51, IFERROR(MONTH($J$2+32)&amp;"/"&amp;INDEX(DAY(Bills2[Date &lt;d&gt;]), (ROWS($B$1:$B37)-ROWS(Bills1[Date &lt;d&gt;])))&amp;"/"&amp;$C$51, "")), IFERROR(MONTH($J$2+32)&amp;"/"&amp;INDEX(Bills1[Date &lt;d&gt;], ROWS($B$1:$B37)), IFERROR(MONTH($J$2+32)&amp;"/"&amp;INDEX(DAY(Bills2[Date &lt;d&gt;]), (ROWS($B$1:$B37)-ROWS(Bills1[Date &lt;d&gt;]))), ""))), "")</f>
        <v/>
      </c>
      <c r="N38" s="130" t="str">
        <f>IF(IFERROR(INDEX(Bills1[Amount],ROWS($B$1:$B37)),IFERROR(INDEX(Bills2[Amount],(ROWS($B$1:$B37)-ROWS(Bills1[Amount]))),))&gt;0,-IFERROR(INDEX(Bills1[Amount],ROWS($B$1:$B37)),IFERROR(INDEX(Bills2[Amount],(ROWS($B$1:$B37)-ROWS(Bills1[Amount]))),)), "")</f>
        <v/>
      </c>
      <c r="P38" s="129" t="str">
        <f ca="1">IF(ISNUMBER(bills_curr_plus5[[#This Row],[bills]]), IF(OR(MONTH($M$2)=12, YEAR($M$2)=YEAR(TODAY())+1), IFERROR(MONTH($M$2+32)&amp;"/"&amp;INDEX(Bills1[Date &lt;d&gt;], ROWS($B$1:$B37))&amp;"/"&amp;$C$51, IFERROR(MONTH($M$2+32)&amp;"/"&amp;INDEX(DAY(Bills2[Date &lt;d&gt;]), (ROWS($B$1:$B37)-ROWS(Bills1[Date &lt;d&gt;])))&amp;"/"&amp;$C$51, "")), IFERROR(MONTH($M$2+32)&amp;"/"&amp;INDEX(Bills1[Date &lt;d&gt;], ROWS($B$1:$B37)), IFERROR(MONTH($M$2+32)&amp;"/"&amp;INDEX(DAY(Bills2[Date &lt;d&gt;]), (ROWS($B$1:$B37)-ROWS(Bills1[Date &lt;d&gt;]))), ""))), "")</f>
        <v/>
      </c>
      <c r="Q38" s="130" t="str">
        <f>IF(IFERROR(INDEX(Bills1[Amount],ROWS($B$1:$B37)),IFERROR(INDEX(Bills2[Amount],(ROWS($B$1:$B37)-ROWS(Bills1[Amount]))),))&gt;0,-IFERROR(INDEX(Bills1[Amount],ROWS($B$1:$B37)),IFERROR(INDEX(Bills2[Amount],(ROWS($B$1:$B37)-ROWS(Bills1[Amount]))),)), "")</f>
        <v/>
      </c>
      <c r="R38" s="130"/>
      <c r="S38" s="129" t="str">
        <f ca="1">IF(ISNUMBER(bills_curr_plus6[[#This Row],[bills]]),
IF(OR(MONTH($P$2)=12, YEAR($P$2)=YEAR(TODAY())+1),
IFERROR(MONTH($P$2+32)&amp;"/"&amp;INDEX(Bills1[Date &lt;d&gt;], ROWS($B$1:$B37))&amp;"/"&amp;$C$51,
IFERROR(MONTH($P$2+32)&amp;"/"&amp;INDEX(DAY(Bills2[Date &lt;d&gt;]), (ROWS($B$1:$B37)-ROWS(Bills1[Date &lt;d&gt;])))&amp;"/"&amp;$C$51, "")),
IFERROR(MONTH($P$2+32)&amp;"/"&amp;INDEX(Bills1[Date &lt;d&gt;], ROWS($B$1:$B37)),
IFERROR(MONTH($P$2+32)&amp;"/"&amp;INDEX(DAY(Bills2[Date &lt;d&gt;]), (ROWS($B$1:$B37)-ROWS(Bills1[Date &lt;d&gt;]))), ""))), "")</f>
        <v/>
      </c>
      <c r="T38" s="130" t="str">
        <f>IF(IFERROR(INDEX(Bills1[Amount],ROWS($B$1:$B37)),
IFERROR(INDEX(Bills2[Amount],(ROWS($B$1:$B37)-ROWS(Bills1[Amount]))),))&gt;0,
-IFERROR(INDEX(Bills1[Amount],ROWS($B$1:$B37)),
IFERROR(INDEX(Bills2[Amount],(ROWS($B$1:$B37)-ROWS(Bills1[Amount]))),)), "")</f>
        <v/>
      </c>
      <c r="V38" s="129">
        <v>43806</v>
      </c>
      <c r="W38" s="1">
        <f>DAY(income_future[[#This Row],[dates]])</f>
        <v>7</v>
      </c>
      <c r="X38" s="130">
        <f ca="1">SUMIF(income_curr[mod( )], MOD(V38, 14), income_curr[income])</f>
        <v>0</v>
      </c>
      <c r="Z38" s="132">
        <f ca="1">IF(TEXT(Table10[[#This Row],[dates]], "ddd")="Mon", 999999999, "")</f>
        <v>999999999</v>
      </c>
      <c r="AA38" s="132" t="str">
        <f ca="1">IF(TODAY()=Table10[[#This Row],[dates]], TEXT(DATE(2019, MONTH(Table10[[#This Row],[dates]]), 1), "mmm"), IFERROR(IF(MONTH(Table10[[#This Row],[dates]])&lt;&gt;MONTH(AC37), TEXT(DATE(2019, MONTH(Table10[[#This Row],[dates]]), 1), "mmm"), ""), ""))</f>
        <v/>
      </c>
      <c r="AB38" s="133">
        <f ca="1">DAY('Data Preparation'!$AC38)</f>
        <v>16</v>
      </c>
      <c r="AC38" s="143">
        <f t="shared" ca="1" si="1"/>
        <v>43815</v>
      </c>
      <c r="AD38"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8" s="136">
        <f ca="1">IFERROR(
IF(MONTH(Table10[[#This Row],[dates]])&lt;&gt;MONTH($AC37), Table10[[#This Row],[delta $]]+AE37-SUM(Bills3[Amount]), N("deducts other bills at the end of each month")+
IF(Table10[[#This Row],[delta $]]&lt;&gt;0, Table10[[#This Row],[delta $]]+AE37,
AE37)),
"")</f>
        <v>3356</v>
      </c>
      <c r="AF38" s="136">
        <f ca="1">Table10[[#This Row],[sum per date]]-IF(MONTH(Table10[[#This Row],[dates]])=MONTH(TODAY()),
SUMIF(Bills3[Paid?], "&lt;&gt;Y", Bills3[Amount]), SUM(Bills3[Amount]))</f>
        <v>2736</v>
      </c>
      <c r="AG38" s="136" t="e">
        <f ca="1">IF(AND(
Table10[[#This Row],[fluctuation]]=MIN(INDEX(Table10[fluctuation], MATCH(TODAY(),Table10[dates], 0)):INDEX(Table10[fluctuation], MATCH(end_date,Table10[dates], 0))),
OR(ISNA(INDEX($AF$2:AF37, MATCH(Table10[[#This Row],[fluctuation]], $AF$2:AF37, 0))), ROW(AG38)=2)),
Table10[[#This Row],[fluctuation]],
NA())</f>
        <v>#N/A</v>
      </c>
    </row>
    <row r="39" spans="1:33" x14ac:dyDescent="0.25">
      <c r="A39" s="129" t="str">
        <f ca="1">IF(ISNUMBER(bills_curr_mo[[#This Row],[bills]]), IFERROR(MONTH(TODAY())&amp;"/"&amp;INDEX(Bills1[Date &lt;d&gt;], ROWS(B$1:$B38)), IFERROR(MONTH(TODAY())&amp;"/"&amp;INDEX(DAY(Bills2[Date &lt;d&gt;]), (ROWS(B$1:$B38)-ROWS(Bills1[Date &lt;d&gt;]))), "")), "")</f>
        <v/>
      </c>
      <c r="B39" s="130" t="str">
        <f>IF(IFERROR(INDEX(Bills1[Amount],ROWS($B$1:$B38)),IFERROR(INDEX(Bills2[Amount],(ROWS($B$1:$B38)-ROWS(Bills1[Amount]))),))&gt;0,-IFERROR(INDEX(Bills1[Amount],ROWS($B$1:$B38)),IFERROR(INDEX(Bills2[Amount],(ROWS($B$1:$B38)-ROWS(Bills1[Amount]))),)), "")</f>
        <v/>
      </c>
      <c r="D39" s="129" t="str">
        <f ca="1">IF(ISNUMBER(bills_curr_plus1[[#This Row],[bills]]), IF(OR(MONTH($A$2)=12, YEAR($A$2)=YEAR(TODAY())+1), IFERROR(MONTH($A$2+32)&amp;"/"&amp;INDEX(Bills1[Date &lt;d&gt;], ROWS($B$1:$B38))&amp;"/"&amp;$C$51, IFERROR(MONTH($A$2+32)&amp;"/"&amp;INDEX(DAY(Bills2[Date &lt;d&gt;]), (ROWS($B$1:$B38)-ROWS(Bills1[Date &lt;d&gt;])))&amp;"/"&amp;$C$51, "")), IFERROR(MONTH($A$2+32)&amp;"/"&amp;INDEX(Bills1[Date &lt;d&gt;], ROWS($B$1:$B38)), IFERROR(MONTH($A$2+32)&amp;"/"&amp;INDEX(DAY(Bills2[Date &lt;d&gt;]), (ROWS($B$1:$B38)-ROWS(Bills1[Date &lt;d&gt;]))), ""))), "")</f>
        <v/>
      </c>
      <c r="E39" s="130" t="str">
        <f>IF(IFERROR(INDEX(Bills1[Amount],ROWS($B$1:$B38)),IFERROR(INDEX(Bills2[Amount],(ROWS($B$1:$B38)-ROWS(Bills1[Amount]))),))&gt;0,-IFERROR(INDEX(Bills1[Amount],ROWS($B$1:$B38)),IFERROR(INDEX(Bills2[Amount],(ROWS($B$1:$B38)-ROWS(Bills1[Amount]))),)), "")</f>
        <v/>
      </c>
      <c r="G39" s="129" t="str">
        <f ca="1">IF(ISNUMBER(bills_curr_plus2[[#This Row],[bills]]), IF(OR(MONTH($D$2)=12, YEAR($D$2)=YEAR(TODAY())+1), IFERROR(MONTH($D$2+32)&amp;"/"&amp;INDEX(Bills1[Date &lt;d&gt;], ROWS($B$1:$B38))&amp;"/"&amp;$C$51, IFERROR(MONTH($D$2+32)&amp;"/"&amp;INDEX(DAY(Bills2[Date &lt;d&gt;]), (ROWS($B$1:$B38)-ROWS(Bills1[Date &lt;d&gt;])))&amp;"/"&amp;$C$51, "")), IFERROR(MONTH($D$2+32)&amp;"/"&amp;INDEX(Bills1[Date &lt;d&gt;], ROWS($B$1:$B38)), IFERROR(MONTH($D$2+32)&amp;"/"&amp;INDEX(DAY(Bills2[Date &lt;d&gt;]), (ROWS($B$1:$B38)-ROWS(Bills1[Date &lt;d&gt;]))), ""))), "")</f>
        <v/>
      </c>
      <c r="H39" s="130" t="str">
        <f>IF(IFERROR(INDEX(Bills1[Amount],ROWS($B$1:$B38)),IFERROR(INDEX(Bills2[Amount],(ROWS($B$1:$B38)-ROWS(Bills1[Amount]))),))&gt;0,-IFERROR(INDEX(Bills1[Amount],ROWS($B$1:$B38)),IFERROR(INDEX(Bills2[Amount],(ROWS($B$1:$B38)-ROWS(Bills1[Amount]))),)), "")</f>
        <v/>
      </c>
      <c r="J39" s="129" t="str">
        <f ca="1">IF(ISNUMBER(bills_curr_plus3[[#This Row],[bills]]), IF(OR(MONTH($G$2)=12, YEAR($G$2)=YEAR(TODAY())+1), IFERROR(MONTH($G$2+32)&amp;"/"&amp;INDEX(Bills1[Date &lt;d&gt;], ROWS($B$1:$B38))&amp;"/"&amp;$C$51, IFERROR(MONTH($G$2+32)&amp;"/"&amp;INDEX(DAY(Bills2[Date &lt;d&gt;]), (ROWS($B$1:$B38)-ROWS(Bills1[Date &lt;d&gt;])))&amp;"/"&amp;$C$51, "")), IFERROR(MONTH($G$2+32)&amp;"/"&amp;INDEX(Bills1[Date &lt;d&gt;], ROWS($B$1:$B38)), IFERROR(MONTH($G$2+32)&amp;"/"&amp;INDEX(DAY(Bills2[Date &lt;d&gt;]), (ROWS($B$1:$B38)-ROWS(Bills1[Date &lt;d&gt;]))), ""))), "")</f>
        <v/>
      </c>
      <c r="K39" s="130" t="str">
        <f>IF(IFERROR(INDEX(Bills1[Amount],ROWS($B$1:$B38)),IFERROR(INDEX(Bills2[Amount],(ROWS($B$1:$B38)-ROWS(Bills1[Amount]))),))&gt;0,-IFERROR(INDEX(Bills1[Amount],ROWS($B$1:$B38)),IFERROR(INDEX(Bills2[Amount],(ROWS($B$1:$B38)-ROWS(Bills1[Amount]))),)), "")</f>
        <v/>
      </c>
      <c r="M39" s="129" t="str">
        <f ca="1">IF(ISNUMBER(bills_curr_plus4[[#This Row],[bills]]), IF(OR(MONTH($J$2)=12, YEAR($J$2)=YEAR(TODAY())+1), IFERROR(MONTH($J$2+32)&amp;"/"&amp;INDEX(Bills1[Date &lt;d&gt;], ROWS($B$1:$B38))&amp;"/"&amp;$C$51, IFERROR(MONTH($J$2+32)&amp;"/"&amp;INDEX(DAY(Bills2[Date &lt;d&gt;]), (ROWS($B$1:$B38)-ROWS(Bills1[Date &lt;d&gt;])))&amp;"/"&amp;$C$51, "")), IFERROR(MONTH($J$2+32)&amp;"/"&amp;INDEX(Bills1[Date &lt;d&gt;], ROWS($B$1:$B38)), IFERROR(MONTH($J$2+32)&amp;"/"&amp;INDEX(DAY(Bills2[Date &lt;d&gt;]), (ROWS($B$1:$B38)-ROWS(Bills1[Date &lt;d&gt;]))), ""))), "")</f>
        <v/>
      </c>
      <c r="N39" s="130" t="str">
        <f>IF(IFERROR(INDEX(Bills1[Amount],ROWS($B$1:$B38)),IFERROR(INDEX(Bills2[Amount],(ROWS($B$1:$B38)-ROWS(Bills1[Amount]))),))&gt;0,-IFERROR(INDEX(Bills1[Amount],ROWS($B$1:$B38)),IFERROR(INDEX(Bills2[Amount],(ROWS($B$1:$B38)-ROWS(Bills1[Amount]))),)), "")</f>
        <v/>
      </c>
      <c r="P39" s="129" t="str">
        <f ca="1">IF(ISNUMBER(bills_curr_plus5[[#This Row],[bills]]), IF(OR(MONTH($M$2)=12, YEAR($M$2)=YEAR(TODAY())+1), IFERROR(MONTH($M$2+32)&amp;"/"&amp;INDEX(Bills1[Date &lt;d&gt;], ROWS($B$1:$B38))&amp;"/"&amp;$C$51, IFERROR(MONTH($M$2+32)&amp;"/"&amp;INDEX(DAY(Bills2[Date &lt;d&gt;]), (ROWS($B$1:$B38)-ROWS(Bills1[Date &lt;d&gt;])))&amp;"/"&amp;$C$51, "")), IFERROR(MONTH($M$2+32)&amp;"/"&amp;INDEX(Bills1[Date &lt;d&gt;], ROWS($B$1:$B38)), IFERROR(MONTH($M$2+32)&amp;"/"&amp;INDEX(DAY(Bills2[Date &lt;d&gt;]), (ROWS($B$1:$B38)-ROWS(Bills1[Date &lt;d&gt;]))), ""))), "")</f>
        <v/>
      </c>
      <c r="Q39" s="130" t="str">
        <f>IF(IFERROR(INDEX(Bills1[Amount],ROWS($B$1:$B38)),IFERROR(INDEX(Bills2[Amount],(ROWS($B$1:$B38)-ROWS(Bills1[Amount]))),))&gt;0,-IFERROR(INDEX(Bills1[Amount],ROWS($B$1:$B38)),IFERROR(INDEX(Bills2[Amount],(ROWS($B$1:$B38)-ROWS(Bills1[Amount]))),)), "")</f>
        <v/>
      </c>
      <c r="R39" s="130"/>
      <c r="S39" s="129" t="str">
        <f ca="1">IF(ISNUMBER(bills_curr_plus6[[#This Row],[bills]]),
IF(OR(MONTH($P$2)=12, YEAR($P$2)=YEAR(TODAY())+1),
IFERROR(MONTH($P$2+32)&amp;"/"&amp;INDEX(Bills1[Date &lt;d&gt;], ROWS($B$1:$B38))&amp;"/"&amp;$C$51,
IFERROR(MONTH($P$2+32)&amp;"/"&amp;INDEX(DAY(Bills2[Date &lt;d&gt;]), (ROWS($B$1:$B38)-ROWS(Bills1[Date &lt;d&gt;])))&amp;"/"&amp;$C$51, "")),
IFERROR(MONTH($P$2+32)&amp;"/"&amp;INDEX(Bills1[Date &lt;d&gt;], ROWS($B$1:$B38)),
IFERROR(MONTH($P$2+32)&amp;"/"&amp;INDEX(DAY(Bills2[Date &lt;d&gt;]), (ROWS($B$1:$B38)-ROWS(Bills1[Date &lt;d&gt;]))), ""))), "")</f>
        <v/>
      </c>
      <c r="T39" s="130" t="str">
        <f>IF(IFERROR(INDEX(Bills1[Amount],ROWS($B$1:$B38)),
IFERROR(INDEX(Bills2[Amount],(ROWS($B$1:$B38)-ROWS(Bills1[Amount]))),))&gt;0,
-IFERROR(INDEX(Bills1[Amount],ROWS($B$1:$B38)),
IFERROR(INDEX(Bills2[Amount],(ROWS($B$1:$B38)-ROWS(Bills1[Amount]))),)), "")</f>
        <v/>
      </c>
      <c r="V39" s="129">
        <v>43807</v>
      </c>
      <c r="W39" s="1">
        <f>DAY(income_future[[#This Row],[dates]])</f>
        <v>8</v>
      </c>
      <c r="X39" s="130">
        <f ca="1">SUMIF(income_curr[mod( )], MOD(V39, 14), income_curr[income])</f>
        <v>0</v>
      </c>
      <c r="Z39" s="132" t="str">
        <f ca="1">IF(TEXT(Table10[[#This Row],[dates]], "ddd")="Mon", 999999999, "")</f>
        <v/>
      </c>
      <c r="AA39" s="132" t="str">
        <f ca="1">IF(TODAY()=Table10[[#This Row],[dates]], TEXT(DATE(2019, MONTH(Table10[[#This Row],[dates]]), 1), "mmm"), IFERROR(IF(MONTH(Table10[[#This Row],[dates]])&lt;&gt;MONTH(AC38), TEXT(DATE(2019, MONTH(Table10[[#This Row],[dates]]), 1), "mmm"), ""), ""))</f>
        <v/>
      </c>
      <c r="AB39" s="133">
        <f ca="1">DAY('Data Preparation'!$AC39)</f>
        <v>17</v>
      </c>
      <c r="AC39" s="143">
        <f t="shared" ca="1" si="1"/>
        <v>43816</v>
      </c>
      <c r="AD39"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39" s="136">
        <f ca="1">IFERROR(
IF(MONTH(Table10[[#This Row],[dates]])&lt;&gt;MONTH($AC38), Table10[[#This Row],[delta $]]+AE38-SUM(Bills3[Amount]), N("deducts other bills at the end of each month")+
IF(Table10[[#This Row],[delta $]]&lt;&gt;0, Table10[[#This Row],[delta $]]+AE38,
AE38)),
"")</f>
        <v>3356</v>
      </c>
      <c r="AF39" s="136">
        <f ca="1">Table10[[#This Row],[sum per date]]-IF(MONTH(Table10[[#This Row],[dates]])=MONTH(TODAY()),
SUMIF(Bills3[Paid?], "&lt;&gt;Y", Bills3[Amount]), SUM(Bills3[Amount]))</f>
        <v>2736</v>
      </c>
      <c r="AG39" s="136" t="e">
        <f ca="1">IF(AND(
Table10[[#This Row],[fluctuation]]=MIN(INDEX(Table10[fluctuation], MATCH(TODAY(),Table10[dates], 0)):INDEX(Table10[fluctuation], MATCH(end_date,Table10[dates], 0))),
OR(ISNA(INDEX($AF$2:AF38, MATCH(Table10[[#This Row],[fluctuation]], $AF$2:AF38, 0))), ROW(AG39)=2)),
Table10[[#This Row],[fluctuation]],
NA())</f>
        <v>#N/A</v>
      </c>
    </row>
    <row r="40" spans="1:33" x14ac:dyDescent="0.25">
      <c r="A40" s="129" t="str">
        <f ca="1">IF(ISNUMBER(bills_curr_mo[[#This Row],[bills]]), IFERROR(MONTH(TODAY())&amp;"/"&amp;INDEX(Bills1[Date &lt;d&gt;], ROWS(B$1:$B39)), IFERROR(MONTH(TODAY())&amp;"/"&amp;INDEX(DAY(Bills2[Date &lt;d&gt;]), (ROWS(B$1:$B39)-ROWS(Bills1[Date &lt;d&gt;]))), "")), "")</f>
        <v/>
      </c>
      <c r="B40" s="130" t="str">
        <f>IF(IFERROR(INDEX(Bills1[Amount],ROWS($B$1:$B39)),IFERROR(INDEX(Bills2[Amount],(ROWS($B$1:$B39)-ROWS(Bills1[Amount]))),))&gt;0,-IFERROR(INDEX(Bills1[Amount],ROWS($B$1:$B39)),IFERROR(INDEX(Bills2[Amount],(ROWS($B$1:$B39)-ROWS(Bills1[Amount]))),)), "")</f>
        <v/>
      </c>
      <c r="D40" s="129" t="str">
        <f ca="1">IF(ISNUMBER(bills_curr_plus1[[#This Row],[bills]]), IF(OR(MONTH($A$2)=12, YEAR($A$2)=YEAR(TODAY())+1), IFERROR(MONTH($A$2+32)&amp;"/"&amp;INDEX(Bills1[Date &lt;d&gt;], ROWS($B$1:$B39))&amp;"/"&amp;$C$51, IFERROR(MONTH($A$2+32)&amp;"/"&amp;INDEX(DAY(Bills2[Date &lt;d&gt;]), (ROWS($B$1:$B39)-ROWS(Bills1[Date &lt;d&gt;])))&amp;"/"&amp;$C$51, "")), IFERROR(MONTH($A$2+32)&amp;"/"&amp;INDEX(Bills1[Date &lt;d&gt;], ROWS($B$1:$B39)), IFERROR(MONTH($A$2+32)&amp;"/"&amp;INDEX(DAY(Bills2[Date &lt;d&gt;]), (ROWS($B$1:$B39)-ROWS(Bills1[Date &lt;d&gt;]))), ""))), "")</f>
        <v/>
      </c>
      <c r="E40" s="130" t="str">
        <f>IF(IFERROR(INDEX(Bills1[Amount],ROWS($B$1:$B39)),IFERROR(INDEX(Bills2[Amount],(ROWS($B$1:$B39)-ROWS(Bills1[Amount]))),))&gt;0,-IFERROR(INDEX(Bills1[Amount],ROWS($B$1:$B39)),IFERROR(INDEX(Bills2[Amount],(ROWS($B$1:$B39)-ROWS(Bills1[Amount]))),)), "")</f>
        <v/>
      </c>
      <c r="G40" s="129" t="str">
        <f ca="1">IF(ISNUMBER(bills_curr_plus2[[#This Row],[bills]]), IF(OR(MONTH($D$2)=12, YEAR($D$2)=YEAR(TODAY())+1), IFERROR(MONTH($D$2+32)&amp;"/"&amp;INDEX(Bills1[Date &lt;d&gt;], ROWS($B$1:$B39))&amp;"/"&amp;$C$51, IFERROR(MONTH($D$2+32)&amp;"/"&amp;INDEX(DAY(Bills2[Date &lt;d&gt;]), (ROWS($B$1:$B39)-ROWS(Bills1[Date &lt;d&gt;])))&amp;"/"&amp;$C$51, "")), IFERROR(MONTH($D$2+32)&amp;"/"&amp;INDEX(Bills1[Date &lt;d&gt;], ROWS($B$1:$B39)), IFERROR(MONTH($D$2+32)&amp;"/"&amp;INDEX(DAY(Bills2[Date &lt;d&gt;]), (ROWS($B$1:$B39)-ROWS(Bills1[Date &lt;d&gt;]))), ""))), "")</f>
        <v/>
      </c>
      <c r="H40" s="130" t="str">
        <f>IF(IFERROR(INDEX(Bills1[Amount],ROWS($B$1:$B39)),IFERROR(INDEX(Bills2[Amount],(ROWS($B$1:$B39)-ROWS(Bills1[Amount]))),))&gt;0,-IFERROR(INDEX(Bills1[Amount],ROWS($B$1:$B39)),IFERROR(INDEX(Bills2[Amount],(ROWS($B$1:$B39)-ROWS(Bills1[Amount]))),)), "")</f>
        <v/>
      </c>
      <c r="J40" s="129" t="str">
        <f ca="1">IF(ISNUMBER(bills_curr_plus3[[#This Row],[bills]]), IF(OR(MONTH($G$2)=12, YEAR($G$2)=YEAR(TODAY())+1), IFERROR(MONTH($G$2+32)&amp;"/"&amp;INDEX(Bills1[Date &lt;d&gt;], ROWS($B$1:$B39))&amp;"/"&amp;$C$51, IFERROR(MONTH($G$2+32)&amp;"/"&amp;INDEX(DAY(Bills2[Date &lt;d&gt;]), (ROWS($B$1:$B39)-ROWS(Bills1[Date &lt;d&gt;])))&amp;"/"&amp;$C$51, "")), IFERROR(MONTH($G$2+32)&amp;"/"&amp;INDEX(Bills1[Date &lt;d&gt;], ROWS($B$1:$B39)), IFERROR(MONTH($G$2+32)&amp;"/"&amp;INDEX(DAY(Bills2[Date &lt;d&gt;]), (ROWS($B$1:$B39)-ROWS(Bills1[Date &lt;d&gt;]))), ""))), "")</f>
        <v/>
      </c>
      <c r="K40" s="130" t="str">
        <f>IF(IFERROR(INDEX(Bills1[Amount],ROWS($B$1:$B39)),IFERROR(INDEX(Bills2[Amount],(ROWS($B$1:$B39)-ROWS(Bills1[Amount]))),))&gt;0,-IFERROR(INDEX(Bills1[Amount],ROWS($B$1:$B39)),IFERROR(INDEX(Bills2[Amount],(ROWS($B$1:$B39)-ROWS(Bills1[Amount]))),)), "")</f>
        <v/>
      </c>
      <c r="M40" s="129" t="str">
        <f ca="1">IF(ISNUMBER(bills_curr_plus4[[#This Row],[bills]]), IF(OR(MONTH($J$2)=12, YEAR($J$2)=YEAR(TODAY())+1), IFERROR(MONTH($J$2+32)&amp;"/"&amp;INDEX(Bills1[Date &lt;d&gt;], ROWS($B$1:$B39))&amp;"/"&amp;$C$51, IFERROR(MONTH($J$2+32)&amp;"/"&amp;INDEX(DAY(Bills2[Date &lt;d&gt;]), (ROWS($B$1:$B39)-ROWS(Bills1[Date &lt;d&gt;])))&amp;"/"&amp;$C$51, "")), IFERROR(MONTH($J$2+32)&amp;"/"&amp;INDEX(Bills1[Date &lt;d&gt;], ROWS($B$1:$B39)), IFERROR(MONTH($J$2+32)&amp;"/"&amp;INDEX(DAY(Bills2[Date &lt;d&gt;]), (ROWS($B$1:$B39)-ROWS(Bills1[Date &lt;d&gt;]))), ""))), "")</f>
        <v/>
      </c>
      <c r="N40" s="130" t="str">
        <f>IF(IFERROR(INDEX(Bills1[Amount],ROWS($B$1:$B39)),IFERROR(INDEX(Bills2[Amount],(ROWS($B$1:$B39)-ROWS(Bills1[Amount]))),))&gt;0,-IFERROR(INDEX(Bills1[Amount],ROWS($B$1:$B39)),IFERROR(INDEX(Bills2[Amount],(ROWS($B$1:$B39)-ROWS(Bills1[Amount]))),)), "")</f>
        <v/>
      </c>
      <c r="P40" s="129" t="str">
        <f ca="1">IF(ISNUMBER(bills_curr_plus5[[#This Row],[bills]]), IF(OR(MONTH($M$2)=12, YEAR($M$2)=YEAR(TODAY())+1), IFERROR(MONTH($M$2+32)&amp;"/"&amp;INDEX(Bills1[Date &lt;d&gt;], ROWS($B$1:$B39))&amp;"/"&amp;$C$51, IFERROR(MONTH($M$2+32)&amp;"/"&amp;INDEX(DAY(Bills2[Date &lt;d&gt;]), (ROWS($B$1:$B39)-ROWS(Bills1[Date &lt;d&gt;])))&amp;"/"&amp;$C$51, "")), IFERROR(MONTH($M$2+32)&amp;"/"&amp;INDEX(Bills1[Date &lt;d&gt;], ROWS($B$1:$B39)), IFERROR(MONTH($M$2+32)&amp;"/"&amp;INDEX(DAY(Bills2[Date &lt;d&gt;]), (ROWS($B$1:$B39)-ROWS(Bills1[Date &lt;d&gt;]))), ""))), "")</f>
        <v/>
      </c>
      <c r="Q40" s="130" t="str">
        <f>IF(IFERROR(INDEX(Bills1[Amount],ROWS($B$1:$B39)),IFERROR(INDEX(Bills2[Amount],(ROWS($B$1:$B39)-ROWS(Bills1[Amount]))),))&gt;0,-IFERROR(INDEX(Bills1[Amount],ROWS($B$1:$B39)),IFERROR(INDEX(Bills2[Amount],(ROWS($B$1:$B39)-ROWS(Bills1[Amount]))),)), "")</f>
        <v/>
      </c>
      <c r="R40" s="130"/>
      <c r="S40" s="129" t="str">
        <f ca="1">IF(ISNUMBER(bills_curr_plus6[[#This Row],[bills]]),
IF(OR(MONTH($P$2)=12, YEAR($P$2)=YEAR(TODAY())+1),
IFERROR(MONTH($P$2+32)&amp;"/"&amp;INDEX(Bills1[Date &lt;d&gt;], ROWS($B$1:$B39))&amp;"/"&amp;$C$51,
IFERROR(MONTH($P$2+32)&amp;"/"&amp;INDEX(DAY(Bills2[Date &lt;d&gt;]), (ROWS($B$1:$B39)-ROWS(Bills1[Date &lt;d&gt;])))&amp;"/"&amp;$C$51, "")),
IFERROR(MONTH($P$2+32)&amp;"/"&amp;INDEX(Bills1[Date &lt;d&gt;], ROWS($B$1:$B39)),
IFERROR(MONTH($P$2+32)&amp;"/"&amp;INDEX(DAY(Bills2[Date &lt;d&gt;]), (ROWS($B$1:$B39)-ROWS(Bills1[Date &lt;d&gt;]))), ""))), "")</f>
        <v/>
      </c>
      <c r="T40" s="130" t="str">
        <f>IF(IFERROR(INDEX(Bills1[Amount],ROWS($B$1:$B39)),
IFERROR(INDEX(Bills2[Amount],(ROWS($B$1:$B39)-ROWS(Bills1[Amount]))),))&gt;0,
-IFERROR(INDEX(Bills1[Amount],ROWS($B$1:$B39)),
IFERROR(INDEX(Bills2[Amount],(ROWS($B$1:$B39)-ROWS(Bills1[Amount]))),)), "")</f>
        <v/>
      </c>
      <c r="V40" s="129">
        <v>43808</v>
      </c>
      <c r="W40" s="1">
        <f>DAY(income_future[[#This Row],[dates]])</f>
        <v>9</v>
      </c>
      <c r="X40" s="130">
        <f ca="1">SUMIF(income_curr[mod( )], MOD(V40, 14), income_curr[income])</f>
        <v>0</v>
      </c>
      <c r="Z40" s="132" t="str">
        <f ca="1">IF(TEXT(Table10[[#This Row],[dates]], "ddd")="Mon", 999999999, "")</f>
        <v/>
      </c>
      <c r="AA40" s="132" t="str">
        <f ca="1">IF(TODAY()=Table10[[#This Row],[dates]], TEXT(DATE(2019, MONTH(Table10[[#This Row],[dates]]), 1), "mmm"), IFERROR(IF(MONTH(Table10[[#This Row],[dates]])&lt;&gt;MONTH(AC39), TEXT(DATE(2019, MONTH(Table10[[#This Row],[dates]]), 1), "mmm"), ""), ""))</f>
        <v/>
      </c>
      <c r="AB40" s="133">
        <f ca="1">DAY('Data Preparation'!$AC40)</f>
        <v>18</v>
      </c>
      <c r="AC40" s="143">
        <f t="shared" ca="1" si="1"/>
        <v>43817</v>
      </c>
      <c r="AD40"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0" s="136">
        <f ca="1">IFERROR(
IF(MONTH(Table10[[#This Row],[dates]])&lt;&gt;MONTH($AC39), Table10[[#This Row],[delta $]]+AE39-SUM(Bills3[Amount]), N("deducts other bills at the end of each month")+
IF(Table10[[#This Row],[delta $]]&lt;&gt;0, Table10[[#This Row],[delta $]]+AE39,
AE39)),
"")</f>
        <v>3356</v>
      </c>
      <c r="AF40" s="136">
        <f ca="1">Table10[[#This Row],[sum per date]]-IF(MONTH(Table10[[#This Row],[dates]])=MONTH(TODAY()),
SUMIF(Bills3[Paid?], "&lt;&gt;Y", Bills3[Amount]), SUM(Bills3[Amount]))</f>
        <v>2736</v>
      </c>
      <c r="AG40" s="136" t="e">
        <f ca="1">IF(AND(
Table10[[#This Row],[fluctuation]]=MIN(INDEX(Table10[fluctuation], MATCH(TODAY(),Table10[dates], 0)):INDEX(Table10[fluctuation], MATCH(end_date,Table10[dates], 0))),
OR(ISNA(INDEX($AF$2:AF39, MATCH(Table10[[#This Row],[fluctuation]], $AF$2:AF39, 0))), ROW(AG40)=2)),
Table10[[#This Row],[fluctuation]],
NA())</f>
        <v>#N/A</v>
      </c>
    </row>
    <row r="41" spans="1:33" x14ac:dyDescent="0.25">
      <c r="A41" s="129" t="str">
        <f ca="1">IF(ISNUMBER(bills_curr_mo[[#This Row],[bills]]), IFERROR(MONTH(TODAY())&amp;"/"&amp;INDEX(Bills1[Date &lt;d&gt;], ROWS(B$1:$B40)), IFERROR(MONTH(TODAY())&amp;"/"&amp;INDEX(DAY(Bills2[Date &lt;d&gt;]), (ROWS(B$1:$B40)-ROWS(Bills1[Date &lt;d&gt;]))), "")), "")</f>
        <v/>
      </c>
      <c r="B41" s="130" t="str">
        <f>IF(IFERROR(INDEX(Bills1[Amount],ROWS($B$1:$B40)),IFERROR(INDEX(Bills2[Amount],(ROWS($B$1:$B40)-ROWS(Bills1[Amount]))),))&gt;0,-IFERROR(INDEX(Bills1[Amount],ROWS($B$1:$B40)),IFERROR(INDEX(Bills2[Amount],(ROWS($B$1:$B40)-ROWS(Bills1[Amount]))),)), "")</f>
        <v/>
      </c>
      <c r="D41" s="129" t="str">
        <f ca="1">IF(ISNUMBER(bills_curr_plus1[[#This Row],[bills]]), IF(OR(MONTH($A$2)=12, YEAR($A$2)=YEAR(TODAY())+1), IFERROR(MONTH($A$2+32)&amp;"/"&amp;INDEX(Bills1[Date &lt;d&gt;], ROWS($B$1:$B40))&amp;"/"&amp;$C$51, IFERROR(MONTH($A$2+32)&amp;"/"&amp;INDEX(DAY(Bills2[Date &lt;d&gt;]), (ROWS($B$1:$B40)-ROWS(Bills1[Date &lt;d&gt;])))&amp;"/"&amp;$C$51, "")), IFERROR(MONTH($A$2+32)&amp;"/"&amp;INDEX(Bills1[Date &lt;d&gt;], ROWS($B$1:$B40)), IFERROR(MONTH($A$2+32)&amp;"/"&amp;INDEX(DAY(Bills2[Date &lt;d&gt;]), (ROWS($B$1:$B40)-ROWS(Bills1[Date &lt;d&gt;]))), ""))), "")</f>
        <v/>
      </c>
      <c r="E41" s="130" t="str">
        <f>IF(IFERROR(INDEX(Bills1[Amount],ROWS($B$1:$B40)),IFERROR(INDEX(Bills2[Amount],(ROWS($B$1:$B40)-ROWS(Bills1[Amount]))),))&gt;0,-IFERROR(INDEX(Bills1[Amount],ROWS($B$1:$B40)),IFERROR(INDEX(Bills2[Amount],(ROWS($B$1:$B40)-ROWS(Bills1[Amount]))),)), "")</f>
        <v/>
      </c>
      <c r="G41" s="129" t="str">
        <f ca="1">IF(ISNUMBER(bills_curr_plus2[[#This Row],[bills]]), IF(OR(MONTH($D$2)=12, YEAR($D$2)=YEAR(TODAY())+1), IFERROR(MONTH($D$2+32)&amp;"/"&amp;INDEX(Bills1[Date &lt;d&gt;], ROWS($B$1:$B40))&amp;"/"&amp;$C$51, IFERROR(MONTH($D$2+32)&amp;"/"&amp;INDEX(DAY(Bills2[Date &lt;d&gt;]), (ROWS($B$1:$B40)-ROWS(Bills1[Date &lt;d&gt;])))&amp;"/"&amp;$C$51, "")), IFERROR(MONTH($D$2+32)&amp;"/"&amp;INDEX(Bills1[Date &lt;d&gt;], ROWS($B$1:$B40)), IFERROR(MONTH($D$2+32)&amp;"/"&amp;INDEX(DAY(Bills2[Date &lt;d&gt;]), (ROWS($B$1:$B40)-ROWS(Bills1[Date &lt;d&gt;]))), ""))), "")</f>
        <v/>
      </c>
      <c r="H41" s="130" t="str">
        <f>IF(IFERROR(INDEX(Bills1[Amount],ROWS($B$1:$B40)),IFERROR(INDEX(Bills2[Amount],(ROWS($B$1:$B40)-ROWS(Bills1[Amount]))),))&gt;0,-IFERROR(INDEX(Bills1[Amount],ROWS($B$1:$B40)),IFERROR(INDEX(Bills2[Amount],(ROWS($B$1:$B40)-ROWS(Bills1[Amount]))),)), "")</f>
        <v/>
      </c>
      <c r="J41" s="129" t="str">
        <f ca="1">IF(ISNUMBER(bills_curr_plus3[[#This Row],[bills]]), IF(OR(MONTH($G$2)=12, YEAR($G$2)=YEAR(TODAY())+1), IFERROR(MONTH($G$2+32)&amp;"/"&amp;INDEX(Bills1[Date &lt;d&gt;], ROWS($B$1:$B40))&amp;"/"&amp;$C$51, IFERROR(MONTH($G$2+32)&amp;"/"&amp;INDEX(DAY(Bills2[Date &lt;d&gt;]), (ROWS($B$1:$B40)-ROWS(Bills1[Date &lt;d&gt;])))&amp;"/"&amp;$C$51, "")), IFERROR(MONTH($G$2+32)&amp;"/"&amp;INDEX(Bills1[Date &lt;d&gt;], ROWS($B$1:$B40)), IFERROR(MONTH($G$2+32)&amp;"/"&amp;INDEX(DAY(Bills2[Date &lt;d&gt;]), (ROWS($B$1:$B40)-ROWS(Bills1[Date &lt;d&gt;]))), ""))), "")</f>
        <v/>
      </c>
      <c r="K41" s="130" t="str">
        <f>IF(IFERROR(INDEX(Bills1[Amount],ROWS($B$1:$B40)),IFERROR(INDEX(Bills2[Amount],(ROWS($B$1:$B40)-ROWS(Bills1[Amount]))),))&gt;0,-IFERROR(INDEX(Bills1[Amount],ROWS($B$1:$B40)),IFERROR(INDEX(Bills2[Amount],(ROWS($B$1:$B40)-ROWS(Bills1[Amount]))),)), "")</f>
        <v/>
      </c>
      <c r="M41" s="129" t="str">
        <f ca="1">IF(ISNUMBER(bills_curr_plus4[[#This Row],[bills]]), IF(OR(MONTH($J$2)=12, YEAR($J$2)=YEAR(TODAY())+1), IFERROR(MONTH($J$2+32)&amp;"/"&amp;INDEX(Bills1[Date &lt;d&gt;], ROWS($B$1:$B40))&amp;"/"&amp;$C$51, IFERROR(MONTH($J$2+32)&amp;"/"&amp;INDEX(DAY(Bills2[Date &lt;d&gt;]), (ROWS($B$1:$B40)-ROWS(Bills1[Date &lt;d&gt;])))&amp;"/"&amp;$C$51, "")), IFERROR(MONTH($J$2+32)&amp;"/"&amp;INDEX(Bills1[Date &lt;d&gt;], ROWS($B$1:$B40)), IFERROR(MONTH($J$2+32)&amp;"/"&amp;INDEX(DAY(Bills2[Date &lt;d&gt;]), (ROWS($B$1:$B40)-ROWS(Bills1[Date &lt;d&gt;]))), ""))), "")</f>
        <v/>
      </c>
      <c r="N41" s="130" t="str">
        <f>IF(IFERROR(INDEX(Bills1[Amount],ROWS($B$1:$B40)),IFERROR(INDEX(Bills2[Amount],(ROWS($B$1:$B40)-ROWS(Bills1[Amount]))),))&gt;0,-IFERROR(INDEX(Bills1[Amount],ROWS($B$1:$B40)),IFERROR(INDEX(Bills2[Amount],(ROWS($B$1:$B40)-ROWS(Bills1[Amount]))),)), "")</f>
        <v/>
      </c>
      <c r="P41" s="129" t="str">
        <f ca="1">IF(ISNUMBER(bills_curr_plus5[[#This Row],[bills]]), IF(OR(MONTH($M$2)=12, YEAR($M$2)=YEAR(TODAY())+1), IFERROR(MONTH($M$2+32)&amp;"/"&amp;INDEX(Bills1[Date &lt;d&gt;], ROWS($B$1:$B40))&amp;"/"&amp;$C$51, IFERROR(MONTH($M$2+32)&amp;"/"&amp;INDEX(DAY(Bills2[Date &lt;d&gt;]), (ROWS($B$1:$B40)-ROWS(Bills1[Date &lt;d&gt;])))&amp;"/"&amp;$C$51, "")), IFERROR(MONTH($M$2+32)&amp;"/"&amp;INDEX(Bills1[Date &lt;d&gt;], ROWS($B$1:$B40)), IFERROR(MONTH($M$2+32)&amp;"/"&amp;INDEX(DAY(Bills2[Date &lt;d&gt;]), (ROWS($B$1:$B40)-ROWS(Bills1[Date &lt;d&gt;]))), ""))), "")</f>
        <v/>
      </c>
      <c r="Q41" s="130" t="str">
        <f>IF(IFERROR(INDEX(Bills1[Amount],ROWS($B$1:$B40)),IFERROR(INDEX(Bills2[Amount],(ROWS($B$1:$B40)-ROWS(Bills1[Amount]))),))&gt;0,-IFERROR(INDEX(Bills1[Amount],ROWS($B$1:$B40)),IFERROR(INDEX(Bills2[Amount],(ROWS($B$1:$B40)-ROWS(Bills1[Amount]))),)), "")</f>
        <v/>
      </c>
      <c r="R41" s="130"/>
      <c r="S41" s="129" t="str">
        <f ca="1">IF(ISNUMBER(bills_curr_plus6[[#This Row],[bills]]),
IF(OR(MONTH($P$2)=12, YEAR($P$2)=YEAR(TODAY())+1),
IFERROR(MONTH($P$2+32)&amp;"/"&amp;INDEX(Bills1[Date &lt;d&gt;], ROWS($B$1:$B40))&amp;"/"&amp;$C$51,
IFERROR(MONTH($P$2+32)&amp;"/"&amp;INDEX(DAY(Bills2[Date &lt;d&gt;]), (ROWS($B$1:$B40)-ROWS(Bills1[Date &lt;d&gt;])))&amp;"/"&amp;$C$51, "")),
IFERROR(MONTH($P$2+32)&amp;"/"&amp;INDEX(Bills1[Date &lt;d&gt;], ROWS($B$1:$B40)),
IFERROR(MONTH($P$2+32)&amp;"/"&amp;INDEX(DAY(Bills2[Date &lt;d&gt;]), (ROWS($B$1:$B40)-ROWS(Bills1[Date &lt;d&gt;]))), ""))), "")</f>
        <v/>
      </c>
      <c r="T41" s="130" t="str">
        <f>IF(IFERROR(INDEX(Bills1[Amount],ROWS($B$1:$B40)),
IFERROR(INDEX(Bills2[Amount],(ROWS($B$1:$B40)-ROWS(Bills1[Amount]))),))&gt;0,
-IFERROR(INDEX(Bills1[Amount],ROWS($B$1:$B40)),
IFERROR(INDEX(Bills2[Amount],(ROWS($B$1:$B40)-ROWS(Bills1[Amount]))),)), "")</f>
        <v/>
      </c>
      <c r="V41" s="129">
        <v>43809</v>
      </c>
      <c r="W41" s="1">
        <f>DAY(income_future[[#This Row],[dates]])</f>
        <v>10</v>
      </c>
      <c r="X41" s="130">
        <f ca="1">SUMIF(income_curr[mod( )], MOD(V41, 14), income_curr[income])</f>
        <v>0</v>
      </c>
      <c r="Z41" s="132" t="str">
        <f ca="1">IF(TEXT(Table10[[#This Row],[dates]], "ddd")="Mon", 999999999, "")</f>
        <v/>
      </c>
      <c r="AA41" s="132" t="str">
        <f ca="1">IF(TODAY()=Table10[[#This Row],[dates]], TEXT(DATE(2019, MONTH(Table10[[#This Row],[dates]]), 1), "mmm"), IFERROR(IF(MONTH(Table10[[#This Row],[dates]])&lt;&gt;MONTH(AC40), TEXT(DATE(2019, MONTH(Table10[[#This Row],[dates]]), 1), "mmm"), ""), ""))</f>
        <v/>
      </c>
      <c r="AB41" s="133">
        <f ca="1">DAY('Data Preparation'!$AC41)</f>
        <v>19</v>
      </c>
      <c r="AC41" s="143">
        <f t="shared" ca="1" si="1"/>
        <v>43818</v>
      </c>
      <c r="AD41"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1" s="136">
        <f ca="1">IFERROR(
IF(MONTH(Table10[[#This Row],[dates]])&lt;&gt;MONTH($AC40), Table10[[#This Row],[delta $]]+AE40-SUM(Bills3[Amount]), N("deducts other bills at the end of each month")+
IF(Table10[[#This Row],[delta $]]&lt;&gt;0, Table10[[#This Row],[delta $]]+AE40,
AE40)),
"")</f>
        <v>3356</v>
      </c>
      <c r="AF41" s="136">
        <f ca="1">Table10[[#This Row],[sum per date]]-IF(MONTH(Table10[[#This Row],[dates]])=MONTH(TODAY()),
SUMIF(Bills3[Paid?], "&lt;&gt;Y", Bills3[Amount]), SUM(Bills3[Amount]))</f>
        <v>2736</v>
      </c>
      <c r="AG41" s="136" t="e">
        <f ca="1">IF(AND(
Table10[[#This Row],[fluctuation]]=MIN(INDEX(Table10[fluctuation], MATCH(TODAY(),Table10[dates], 0)):INDEX(Table10[fluctuation], MATCH(end_date,Table10[dates], 0))),
OR(ISNA(INDEX($AF$2:AF40, MATCH(Table10[[#This Row],[fluctuation]], $AF$2:AF40, 0))), ROW(AG41)=2)),
Table10[[#This Row],[fluctuation]],
NA())</f>
        <v>#N/A</v>
      </c>
    </row>
    <row r="42" spans="1:33" x14ac:dyDescent="0.25">
      <c r="A42" s="129" t="str">
        <f ca="1">IF(ISNUMBER(bills_curr_mo[[#This Row],[bills]]), IFERROR(MONTH(TODAY())&amp;"/"&amp;INDEX(Bills1[Date &lt;d&gt;], ROWS(B$1:$B41)), IFERROR(MONTH(TODAY())&amp;"/"&amp;INDEX(DAY(Bills2[Date &lt;d&gt;]), (ROWS(B$1:$B41)-ROWS(Bills1[Date &lt;d&gt;]))), "")), "")</f>
        <v/>
      </c>
      <c r="B42" s="130" t="str">
        <f>IF(IFERROR(INDEX(Bills1[Amount],ROWS($B$1:$B41)),IFERROR(INDEX(Bills2[Amount],(ROWS($B$1:$B41)-ROWS(Bills1[Amount]))),))&gt;0,-IFERROR(INDEX(Bills1[Amount],ROWS($B$1:$B41)),IFERROR(INDEX(Bills2[Amount],(ROWS($B$1:$B41)-ROWS(Bills1[Amount]))),)), "")</f>
        <v/>
      </c>
      <c r="D42" s="129" t="str">
        <f ca="1">IF(ISNUMBER(bills_curr_plus1[[#This Row],[bills]]), IF(OR(MONTH($A$2)=12, YEAR($A$2)=YEAR(TODAY())+1), IFERROR(MONTH($A$2+32)&amp;"/"&amp;INDEX(Bills1[Date &lt;d&gt;], ROWS($B$1:$B41))&amp;"/"&amp;$C$51, IFERROR(MONTH($A$2+32)&amp;"/"&amp;INDEX(DAY(Bills2[Date &lt;d&gt;]), (ROWS($B$1:$B41)-ROWS(Bills1[Date &lt;d&gt;])))&amp;"/"&amp;$C$51, "")), IFERROR(MONTH($A$2+32)&amp;"/"&amp;INDEX(Bills1[Date &lt;d&gt;], ROWS($B$1:$B41)), IFERROR(MONTH($A$2+32)&amp;"/"&amp;INDEX(DAY(Bills2[Date &lt;d&gt;]), (ROWS($B$1:$B41)-ROWS(Bills1[Date &lt;d&gt;]))), ""))), "")</f>
        <v/>
      </c>
      <c r="E42" s="130" t="str">
        <f>IF(IFERROR(INDEX(Bills1[Amount],ROWS($B$1:$B41)),IFERROR(INDEX(Bills2[Amount],(ROWS($B$1:$B41)-ROWS(Bills1[Amount]))),))&gt;0,-IFERROR(INDEX(Bills1[Amount],ROWS($B$1:$B41)),IFERROR(INDEX(Bills2[Amount],(ROWS($B$1:$B41)-ROWS(Bills1[Amount]))),)), "")</f>
        <v/>
      </c>
      <c r="G42" s="129" t="str">
        <f ca="1">IF(ISNUMBER(bills_curr_plus2[[#This Row],[bills]]), IF(OR(MONTH($D$2)=12, YEAR($D$2)=YEAR(TODAY())+1), IFERROR(MONTH($D$2+32)&amp;"/"&amp;INDEX(Bills1[Date &lt;d&gt;], ROWS($B$1:$B41))&amp;"/"&amp;$C$51, IFERROR(MONTH($D$2+32)&amp;"/"&amp;INDEX(DAY(Bills2[Date &lt;d&gt;]), (ROWS($B$1:$B41)-ROWS(Bills1[Date &lt;d&gt;])))&amp;"/"&amp;$C$51, "")), IFERROR(MONTH($D$2+32)&amp;"/"&amp;INDEX(Bills1[Date &lt;d&gt;], ROWS($B$1:$B41)), IFERROR(MONTH($D$2+32)&amp;"/"&amp;INDEX(DAY(Bills2[Date &lt;d&gt;]), (ROWS($B$1:$B41)-ROWS(Bills1[Date &lt;d&gt;]))), ""))), "")</f>
        <v/>
      </c>
      <c r="H42" s="130" t="str">
        <f>IF(IFERROR(INDEX(Bills1[Amount],ROWS($B$1:$B41)),IFERROR(INDEX(Bills2[Amount],(ROWS($B$1:$B41)-ROWS(Bills1[Amount]))),))&gt;0,-IFERROR(INDEX(Bills1[Amount],ROWS($B$1:$B41)),IFERROR(INDEX(Bills2[Amount],(ROWS($B$1:$B41)-ROWS(Bills1[Amount]))),)), "")</f>
        <v/>
      </c>
      <c r="J42" s="129" t="str">
        <f ca="1">IF(ISNUMBER(bills_curr_plus3[[#This Row],[bills]]), IF(OR(MONTH($G$2)=12, YEAR($G$2)=YEAR(TODAY())+1), IFERROR(MONTH($G$2+32)&amp;"/"&amp;INDEX(Bills1[Date &lt;d&gt;], ROWS($B$1:$B41))&amp;"/"&amp;$C$51, IFERROR(MONTH($G$2+32)&amp;"/"&amp;INDEX(DAY(Bills2[Date &lt;d&gt;]), (ROWS($B$1:$B41)-ROWS(Bills1[Date &lt;d&gt;])))&amp;"/"&amp;$C$51, "")), IFERROR(MONTH($G$2+32)&amp;"/"&amp;INDEX(Bills1[Date &lt;d&gt;], ROWS($B$1:$B41)), IFERROR(MONTH($G$2+32)&amp;"/"&amp;INDEX(DAY(Bills2[Date &lt;d&gt;]), (ROWS($B$1:$B41)-ROWS(Bills1[Date &lt;d&gt;]))), ""))), "")</f>
        <v/>
      </c>
      <c r="K42" s="130" t="str">
        <f>IF(IFERROR(INDEX(Bills1[Amount],ROWS($B$1:$B41)),IFERROR(INDEX(Bills2[Amount],(ROWS($B$1:$B41)-ROWS(Bills1[Amount]))),))&gt;0,-IFERROR(INDEX(Bills1[Amount],ROWS($B$1:$B41)),IFERROR(INDEX(Bills2[Amount],(ROWS($B$1:$B41)-ROWS(Bills1[Amount]))),)), "")</f>
        <v/>
      </c>
      <c r="M42" s="129" t="str">
        <f ca="1">IF(ISNUMBER(bills_curr_plus4[[#This Row],[bills]]), IF(OR(MONTH($J$2)=12, YEAR($J$2)=YEAR(TODAY())+1), IFERROR(MONTH($J$2+32)&amp;"/"&amp;INDEX(Bills1[Date &lt;d&gt;], ROWS($B$1:$B41))&amp;"/"&amp;$C$51, IFERROR(MONTH($J$2+32)&amp;"/"&amp;INDEX(DAY(Bills2[Date &lt;d&gt;]), (ROWS($B$1:$B41)-ROWS(Bills1[Date &lt;d&gt;])))&amp;"/"&amp;$C$51, "")), IFERROR(MONTH($J$2+32)&amp;"/"&amp;INDEX(Bills1[Date &lt;d&gt;], ROWS($B$1:$B41)), IFERROR(MONTH($J$2+32)&amp;"/"&amp;INDEX(DAY(Bills2[Date &lt;d&gt;]), (ROWS($B$1:$B41)-ROWS(Bills1[Date &lt;d&gt;]))), ""))), "")</f>
        <v/>
      </c>
      <c r="N42" s="130" t="str">
        <f>IF(IFERROR(INDEX(Bills1[Amount],ROWS($B$1:$B41)),IFERROR(INDEX(Bills2[Amount],(ROWS($B$1:$B41)-ROWS(Bills1[Amount]))),))&gt;0,-IFERROR(INDEX(Bills1[Amount],ROWS($B$1:$B41)),IFERROR(INDEX(Bills2[Amount],(ROWS($B$1:$B41)-ROWS(Bills1[Amount]))),)), "")</f>
        <v/>
      </c>
      <c r="P42" s="129" t="str">
        <f ca="1">IF(ISNUMBER(bills_curr_plus5[[#This Row],[bills]]), IF(OR(MONTH($M$2)=12, YEAR($M$2)=YEAR(TODAY())+1), IFERROR(MONTH($M$2+32)&amp;"/"&amp;INDEX(Bills1[Date &lt;d&gt;], ROWS($B$1:$B41))&amp;"/"&amp;$C$51, IFERROR(MONTH($M$2+32)&amp;"/"&amp;INDEX(DAY(Bills2[Date &lt;d&gt;]), (ROWS($B$1:$B41)-ROWS(Bills1[Date &lt;d&gt;])))&amp;"/"&amp;$C$51, "")), IFERROR(MONTH($M$2+32)&amp;"/"&amp;INDEX(Bills1[Date &lt;d&gt;], ROWS($B$1:$B41)), IFERROR(MONTH($M$2+32)&amp;"/"&amp;INDEX(DAY(Bills2[Date &lt;d&gt;]), (ROWS($B$1:$B41)-ROWS(Bills1[Date &lt;d&gt;]))), ""))), "")</f>
        <v/>
      </c>
      <c r="Q42" s="130" t="str">
        <f>IF(IFERROR(INDEX(Bills1[Amount],ROWS($B$1:$B41)),IFERROR(INDEX(Bills2[Amount],(ROWS($B$1:$B41)-ROWS(Bills1[Amount]))),))&gt;0,-IFERROR(INDEX(Bills1[Amount],ROWS($B$1:$B41)),IFERROR(INDEX(Bills2[Amount],(ROWS($B$1:$B41)-ROWS(Bills1[Amount]))),)), "")</f>
        <v/>
      </c>
      <c r="R42" s="130"/>
      <c r="S42" s="129" t="str">
        <f ca="1">IF(ISNUMBER(bills_curr_plus6[[#This Row],[bills]]),
IF(OR(MONTH($P$2)=12, YEAR($P$2)=YEAR(TODAY())+1),
IFERROR(MONTH($P$2+32)&amp;"/"&amp;INDEX(Bills1[Date &lt;d&gt;], ROWS($B$1:$B41))&amp;"/"&amp;$C$51,
IFERROR(MONTH($P$2+32)&amp;"/"&amp;INDEX(DAY(Bills2[Date &lt;d&gt;]), (ROWS($B$1:$B41)-ROWS(Bills1[Date &lt;d&gt;])))&amp;"/"&amp;$C$51, "")),
IFERROR(MONTH($P$2+32)&amp;"/"&amp;INDEX(Bills1[Date &lt;d&gt;], ROWS($B$1:$B41)),
IFERROR(MONTH($P$2+32)&amp;"/"&amp;INDEX(DAY(Bills2[Date &lt;d&gt;]), (ROWS($B$1:$B41)-ROWS(Bills1[Date &lt;d&gt;]))), ""))), "")</f>
        <v/>
      </c>
      <c r="T42" s="130" t="str">
        <f>IF(IFERROR(INDEX(Bills1[Amount],ROWS($B$1:$B41)),
IFERROR(INDEX(Bills2[Amount],(ROWS($B$1:$B41)-ROWS(Bills1[Amount]))),))&gt;0,
-IFERROR(INDEX(Bills1[Amount],ROWS($B$1:$B41)),
IFERROR(INDEX(Bills2[Amount],(ROWS($B$1:$B41)-ROWS(Bills1[Amount]))),)), "")</f>
        <v/>
      </c>
      <c r="V42" s="129">
        <v>43810</v>
      </c>
      <c r="W42" s="1">
        <f>DAY(income_future[[#This Row],[dates]])</f>
        <v>11</v>
      </c>
      <c r="X42" s="130">
        <f ca="1">SUMIF(income_curr[mod( )], MOD(V42, 14), income_curr[income])</f>
        <v>0</v>
      </c>
      <c r="Z42" s="132" t="str">
        <f ca="1">IF(TEXT(Table10[[#This Row],[dates]], "ddd")="Mon", 999999999, "")</f>
        <v/>
      </c>
      <c r="AA42" s="132" t="str">
        <f ca="1">IF(TODAY()=Table10[[#This Row],[dates]], TEXT(DATE(2019, MONTH(Table10[[#This Row],[dates]]), 1), "mmm"), IFERROR(IF(MONTH(Table10[[#This Row],[dates]])&lt;&gt;MONTH(AC41), TEXT(DATE(2019, MONTH(Table10[[#This Row],[dates]]), 1), "mmm"), ""), ""))</f>
        <v/>
      </c>
      <c r="AB42" s="133">
        <f ca="1">DAY('Data Preparation'!$AC42)</f>
        <v>20</v>
      </c>
      <c r="AC42" s="143">
        <f t="shared" ca="1" si="1"/>
        <v>43819</v>
      </c>
      <c r="AD42"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2" s="136">
        <f ca="1">IFERROR(
IF(MONTH(Table10[[#This Row],[dates]])&lt;&gt;MONTH($AC41), Table10[[#This Row],[delta $]]+AE41-SUM(Bills3[Amount]), N("deducts other bills at the end of each month")+
IF(Table10[[#This Row],[delta $]]&lt;&gt;0, Table10[[#This Row],[delta $]]+AE41,
AE41)),
"")</f>
        <v>3356</v>
      </c>
      <c r="AF42" s="136">
        <f ca="1">Table10[[#This Row],[sum per date]]-IF(MONTH(Table10[[#This Row],[dates]])=MONTH(TODAY()),
SUMIF(Bills3[Paid?], "&lt;&gt;Y", Bills3[Amount]), SUM(Bills3[Amount]))</f>
        <v>2736</v>
      </c>
      <c r="AG42" s="136" t="e">
        <f ca="1">IF(AND(
Table10[[#This Row],[fluctuation]]=MIN(INDEX(Table10[fluctuation], MATCH(TODAY(),Table10[dates], 0)):INDEX(Table10[fluctuation], MATCH(end_date,Table10[dates], 0))),
OR(ISNA(INDEX($AF$2:AF41, MATCH(Table10[[#This Row],[fluctuation]], $AF$2:AF41, 0))), ROW(AG42)=2)),
Table10[[#This Row],[fluctuation]],
NA())</f>
        <v>#N/A</v>
      </c>
    </row>
    <row r="43" spans="1:33" x14ac:dyDescent="0.25">
      <c r="A43" s="129" t="str">
        <f ca="1">IF(ISNUMBER(bills_curr_mo[[#This Row],[bills]]), IFERROR(MONTH(TODAY())&amp;"/"&amp;INDEX(Bills1[Date &lt;d&gt;], ROWS(B$1:$B42)), IFERROR(MONTH(TODAY())&amp;"/"&amp;INDEX(DAY(Bills2[Date &lt;d&gt;]), (ROWS(B$1:$B42)-ROWS(Bills1[Date &lt;d&gt;]))), "")), "")</f>
        <v/>
      </c>
      <c r="B43" s="130" t="str">
        <f>IF(IFERROR(INDEX(Bills1[Amount],ROWS($B$1:$B42)),IFERROR(INDEX(Bills2[Amount],(ROWS($B$1:$B42)-ROWS(Bills1[Amount]))),))&gt;0,-IFERROR(INDEX(Bills1[Amount],ROWS($B$1:$B42)),IFERROR(INDEX(Bills2[Amount],(ROWS($B$1:$B42)-ROWS(Bills1[Amount]))),)), "")</f>
        <v/>
      </c>
      <c r="D43" s="129" t="str">
        <f ca="1">IF(ISNUMBER(bills_curr_plus1[[#This Row],[bills]]), IF(OR(MONTH($A$2)=12, YEAR($A$2)=YEAR(TODAY())+1), IFERROR(MONTH($A$2+32)&amp;"/"&amp;INDEX(Bills1[Date &lt;d&gt;], ROWS($B$1:$B42))&amp;"/"&amp;$C$51, IFERROR(MONTH($A$2+32)&amp;"/"&amp;INDEX(DAY(Bills2[Date &lt;d&gt;]), (ROWS($B$1:$B42)-ROWS(Bills1[Date &lt;d&gt;])))&amp;"/"&amp;$C$51, "")), IFERROR(MONTH($A$2+32)&amp;"/"&amp;INDEX(Bills1[Date &lt;d&gt;], ROWS($B$1:$B42)), IFERROR(MONTH($A$2+32)&amp;"/"&amp;INDEX(DAY(Bills2[Date &lt;d&gt;]), (ROWS($B$1:$B42)-ROWS(Bills1[Date &lt;d&gt;]))), ""))), "")</f>
        <v/>
      </c>
      <c r="E43" s="130" t="str">
        <f>IF(IFERROR(INDEX(Bills1[Amount],ROWS($B$1:$B42)),IFERROR(INDEX(Bills2[Amount],(ROWS($B$1:$B42)-ROWS(Bills1[Amount]))),))&gt;0,-IFERROR(INDEX(Bills1[Amount],ROWS($B$1:$B42)),IFERROR(INDEX(Bills2[Amount],(ROWS($B$1:$B42)-ROWS(Bills1[Amount]))),)), "")</f>
        <v/>
      </c>
      <c r="G43" s="129" t="str">
        <f ca="1">IF(ISNUMBER(bills_curr_plus2[[#This Row],[bills]]), IF(OR(MONTH($D$2)=12, YEAR($D$2)=YEAR(TODAY())+1), IFERROR(MONTH($D$2+32)&amp;"/"&amp;INDEX(Bills1[Date &lt;d&gt;], ROWS($B$1:$B42))&amp;"/"&amp;$C$51, IFERROR(MONTH($D$2+32)&amp;"/"&amp;INDEX(DAY(Bills2[Date &lt;d&gt;]), (ROWS($B$1:$B42)-ROWS(Bills1[Date &lt;d&gt;])))&amp;"/"&amp;$C$51, "")), IFERROR(MONTH($D$2+32)&amp;"/"&amp;INDEX(Bills1[Date &lt;d&gt;], ROWS($B$1:$B42)), IFERROR(MONTH($D$2+32)&amp;"/"&amp;INDEX(DAY(Bills2[Date &lt;d&gt;]), (ROWS($B$1:$B42)-ROWS(Bills1[Date &lt;d&gt;]))), ""))), "")</f>
        <v/>
      </c>
      <c r="H43" s="130" t="str">
        <f>IF(IFERROR(INDEX(Bills1[Amount],ROWS($B$1:$B42)),IFERROR(INDEX(Bills2[Amount],(ROWS($B$1:$B42)-ROWS(Bills1[Amount]))),))&gt;0,-IFERROR(INDEX(Bills1[Amount],ROWS($B$1:$B42)),IFERROR(INDEX(Bills2[Amount],(ROWS($B$1:$B42)-ROWS(Bills1[Amount]))),)), "")</f>
        <v/>
      </c>
      <c r="J43" s="129" t="str">
        <f ca="1">IF(ISNUMBER(bills_curr_plus3[[#This Row],[bills]]), IF(OR(MONTH($G$2)=12, YEAR($G$2)=YEAR(TODAY())+1), IFERROR(MONTH($G$2+32)&amp;"/"&amp;INDEX(Bills1[Date &lt;d&gt;], ROWS($B$1:$B42))&amp;"/"&amp;$C$51, IFERROR(MONTH($G$2+32)&amp;"/"&amp;INDEX(DAY(Bills2[Date &lt;d&gt;]), (ROWS($B$1:$B42)-ROWS(Bills1[Date &lt;d&gt;])))&amp;"/"&amp;$C$51, "")), IFERROR(MONTH($G$2+32)&amp;"/"&amp;INDEX(Bills1[Date &lt;d&gt;], ROWS($B$1:$B42)), IFERROR(MONTH($G$2+32)&amp;"/"&amp;INDEX(DAY(Bills2[Date &lt;d&gt;]), (ROWS($B$1:$B42)-ROWS(Bills1[Date &lt;d&gt;]))), ""))), "")</f>
        <v/>
      </c>
      <c r="K43" s="130" t="str">
        <f>IF(IFERROR(INDEX(Bills1[Amount],ROWS($B$1:$B42)),IFERROR(INDEX(Bills2[Amount],(ROWS($B$1:$B42)-ROWS(Bills1[Amount]))),))&gt;0,-IFERROR(INDEX(Bills1[Amount],ROWS($B$1:$B42)),IFERROR(INDEX(Bills2[Amount],(ROWS($B$1:$B42)-ROWS(Bills1[Amount]))),)), "")</f>
        <v/>
      </c>
      <c r="M43" s="129" t="str">
        <f ca="1">IF(ISNUMBER(bills_curr_plus4[[#This Row],[bills]]), IF(OR(MONTH($J$2)=12, YEAR($J$2)=YEAR(TODAY())+1), IFERROR(MONTH($J$2+32)&amp;"/"&amp;INDEX(Bills1[Date &lt;d&gt;], ROWS($B$1:$B42))&amp;"/"&amp;$C$51, IFERROR(MONTH($J$2+32)&amp;"/"&amp;INDEX(DAY(Bills2[Date &lt;d&gt;]), (ROWS($B$1:$B42)-ROWS(Bills1[Date &lt;d&gt;])))&amp;"/"&amp;$C$51, "")), IFERROR(MONTH($J$2+32)&amp;"/"&amp;INDEX(Bills1[Date &lt;d&gt;], ROWS($B$1:$B42)), IFERROR(MONTH($J$2+32)&amp;"/"&amp;INDEX(DAY(Bills2[Date &lt;d&gt;]), (ROWS($B$1:$B42)-ROWS(Bills1[Date &lt;d&gt;]))), ""))), "")</f>
        <v/>
      </c>
      <c r="N43" s="130" t="str">
        <f>IF(IFERROR(INDEX(Bills1[Amount],ROWS($B$1:$B42)),IFERROR(INDEX(Bills2[Amount],(ROWS($B$1:$B42)-ROWS(Bills1[Amount]))),))&gt;0,-IFERROR(INDEX(Bills1[Amount],ROWS($B$1:$B42)),IFERROR(INDEX(Bills2[Amount],(ROWS($B$1:$B42)-ROWS(Bills1[Amount]))),)), "")</f>
        <v/>
      </c>
      <c r="P43" s="129" t="str">
        <f ca="1">IF(ISNUMBER(bills_curr_plus5[[#This Row],[bills]]), IF(OR(MONTH($M$2)=12, YEAR($M$2)=YEAR(TODAY())+1), IFERROR(MONTH($M$2+32)&amp;"/"&amp;INDEX(Bills1[Date &lt;d&gt;], ROWS($B$1:$B42))&amp;"/"&amp;$C$51, IFERROR(MONTH($M$2+32)&amp;"/"&amp;INDEX(DAY(Bills2[Date &lt;d&gt;]), (ROWS($B$1:$B42)-ROWS(Bills1[Date &lt;d&gt;])))&amp;"/"&amp;$C$51, "")), IFERROR(MONTH($M$2+32)&amp;"/"&amp;INDEX(Bills1[Date &lt;d&gt;], ROWS($B$1:$B42)), IFERROR(MONTH($M$2+32)&amp;"/"&amp;INDEX(DAY(Bills2[Date &lt;d&gt;]), (ROWS($B$1:$B42)-ROWS(Bills1[Date &lt;d&gt;]))), ""))), "")</f>
        <v/>
      </c>
      <c r="Q43" s="130" t="str">
        <f>IF(IFERROR(INDEX(Bills1[Amount],ROWS($B$1:$B42)),IFERROR(INDEX(Bills2[Amount],(ROWS($B$1:$B42)-ROWS(Bills1[Amount]))),))&gt;0,-IFERROR(INDEX(Bills1[Amount],ROWS($B$1:$B42)),IFERROR(INDEX(Bills2[Amount],(ROWS($B$1:$B42)-ROWS(Bills1[Amount]))),)), "")</f>
        <v/>
      </c>
      <c r="R43" s="130"/>
      <c r="S43" s="129" t="str">
        <f ca="1">IF(ISNUMBER(bills_curr_plus6[[#This Row],[bills]]),
IF(OR(MONTH($P$2)=12, YEAR($P$2)=YEAR(TODAY())+1),
IFERROR(MONTH($P$2+32)&amp;"/"&amp;INDEX(Bills1[Date &lt;d&gt;], ROWS($B$1:$B42))&amp;"/"&amp;$C$51,
IFERROR(MONTH($P$2+32)&amp;"/"&amp;INDEX(DAY(Bills2[Date &lt;d&gt;]), (ROWS($B$1:$B42)-ROWS(Bills1[Date &lt;d&gt;])))&amp;"/"&amp;$C$51, "")),
IFERROR(MONTH($P$2+32)&amp;"/"&amp;INDEX(Bills1[Date &lt;d&gt;], ROWS($B$1:$B42)),
IFERROR(MONTH($P$2+32)&amp;"/"&amp;INDEX(DAY(Bills2[Date &lt;d&gt;]), (ROWS($B$1:$B42)-ROWS(Bills1[Date &lt;d&gt;]))), ""))), "")</f>
        <v/>
      </c>
      <c r="T43" s="130" t="str">
        <f>IF(IFERROR(INDEX(Bills1[Amount],ROWS($B$1:$B42)),
IFERROR(INDEX(Bills2[Amount],(ROWS($B$1:$B42)-ROWS(Bills1[Amount]))),))&gt;0,
-IFERROR(INDEX(Bills1[Amount],ROWS($B$1:$B42)),
IFERROR(INDEX(Bills2[Amount],(ROWS($B$1:$B42)-ROWS(Bills1[Amount]))),)), "")</f>
        <v/>
      </c>
      <c r="V43" s="129">
        <v>43811</v>
      </c>
      <c r="W43" s="1">
        <f>DAY(income_future[[#This Row],[dates]])</f>
        <v>12</v>
      </c>
      <c r="X43" s="130">
        <f ca="1">SUMIF(income_curr[mod( )], MOD(V43, 14), income_curr[income])</f>
        <v>0</v>
      </c>
      <c r="Z43" s="132" t="str">
        <f ca="1">IF(TEXT(Table10[[#This Row],[dates]], "ddd")="Mon", 999999999, "")</f>
        <v/>
      </c>
      <c r="AA43" s="132" t="str">
        <f ca="1">IF(TODAY()=Table10[[#This Row],[dates]], TEXT(DATE(2019, MONTH(Table10[[#This Row],[dates]]), 1), "mmm"), IFERROR(IF(MONTH(Table10[[#This Row],[dates]])&lt;&gt;MONTH(AC42), TEXT(DATE(2019, MONTH(Table10[[#This Row],[dates]]), 1), "mmm"), ""), ""))</f>
        <v/>
      </c>
      <c r="AB43" s="133">
        <f ca="1">DAY('Data Preparation'!$AC43)</f>
        <v>21</v>
      </c>
      <c r="AC43" s="143">
        <f t="shared" ca="1" si="1"/>
        <v>43820</v>
      </c>
      <c r="AD43"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3" s="136">
        <f ca="1">IFERROR(
IF(MONTH(Table10[[#This Row],[dates]])&lt;&gt;MONTH($AC42), Table10[[#This Row],[delta $]]+AE42-SUM(Bills3[Amount]), N("deducts other bills at the end of each month")+
IF(Table10[[#This Row],[delta $]]&lt;&gt;0, Table10[[#This Row],[delta $]]+AE42,
AE42)),
"")</f>
        <v>3356</v>
      </c>
      <c r="AF43" s="136">
        <f ca="1">Table10[[#This Row],[sum per date]]-IF(MONTH(Table10[[#This Row],[dates]])=MONTH(TODAY()),
SUMIF(Bills3[Paid?], "&lt;&gt;Y", Bills3[Amount]), SUM(Bills3[Amount]))</f>
        <v>2736</v>
      </c>
      <c r="AG43" s="136" t="e">
        <f ca="1">IF(AND(
Table10[[#This Row],[fluctuation]]=MIN(INDEX(Table10[fluctuation], MATCH(TODAY(),Table10[dates], 0)):INDEX(Table10[fluctuation], MATCH(end_date,Table10[dates], 0))),
OR(ISNA(INDEX($AF$2:AF42, MATCH(Table10[[#This Row],[fluctuation]], $AF$2:AF42, 0))), ROW(AG43)=2)),
Table10[[#This Row],[fluctuation]],
NA())</f>
        <v>#N/A</v>
      </c>
    </row>
    <row r="44" spans="1:33" x14ac:dyDescent="0.25">
      <c r="A44" s="129" t="str">
        <f ca="1">IF(ISNUMBER(bills_curr_mo[[#This Row],[bills]]), IFERROR(MONTH(TODAY())&amp;"/"&amp;INDEX(Bills1[Date &lt;d&gt;], ROWS(B$1:$B43)), IFERROR(MONTH(TODAY())&amp;"/"&amp;INDEX(DAY(Bills2[Date &lt;d&gt;]), (ROWS(B$1:$B43)-ROWS(Bills1[Date &lt;d&gt;]))), "")), "")</f>
        <v/>
      </c>
      <c r="B44" s="130" t="str">
        <f>IF(IFERROR(INDEX(Bills1[Amount],ROWS($B$1:$B43)),IFERROR(INDEX(Bills2[Amount],(ROWS($B$1:$B43)-ROWS(Bills1[Amount]))),))&gt;0,-IFERROR(INDEX(Bills1[Amount],ROWS($B$1:$B43)),IFERROR(INDEX(Bills2[Amount],(ROWS($B$1:$B43)-ROWS(Bills1[Amount]))),)), "")</f>
        <v/>
      </c>
      <c r="D44" s="129" t="str">
        <f ca="1">IF(ISNUMBER(bills_curr_plus1[[#This Row],[bills]]), IF(OR(MONTH($A$2)=12, YEAR($A$2)=YEAR(TODAY())+1), IFERROR(MONTH($A$2+32)&amp;"/"&amp;INDEX(Bills1[Date &lt;d&gt;], ROWS($B$1:$B43))&amp;"/"&amp;$C$51, IFERROR(MONTH($A$2+32)&amp;"/"&amp;INDEX(DAY(Bills2[Date &lt;d&gt;]), (ROWS($B$1:$B43)-ROWS(Bills1[Date &lt;d&gt;])))&amp;"/"&amp;$C$51, "")), IFERROR(MONTH($A$2+32)&amp;"/"&amp;INDEX(Bills1[Date &lt;d&gt;], ROWS($B$1:$B43)), IFERROR(MONTH($A$2+32)&amp;"/"&amp;INDEX(DAY(Bills2[Date &lt;d&gt;]), (ROWS($B$1:$B43)-ROWS(Bills1[Date &lt;d&gt;]))), ""))), "")</f>
        <v/>
      </c>
      <c r="E44" s="130" t="str">
        <f>IF(IFERROR(INDEX(Bills1[Amount],ROWS($B$1:$B43)),IFERROR(INDEX(Bills2[Amount],(ROWS($B$1:$B43)-ROWS(Bills1[Amount]))),))&gt;0,-IFERROR(INDEX(Bills1[Amount],ROWS($B$1:$B43)),IFERROR(INDEX(Bills2[Amount],(ROWS($B$1:$B43)-ROWS(Bills1[Amount]))),)), "")</f>
        <v/>
      </c>
      <c r="G44" s="129" t="str">
        <f ca="1">IF(ISNUMBER(bills_curr_plus2[[#This Row],[bills]]), IF(OR(MONTH($D$2)=12, YEAR($D$2)=YEAR(TODAY())+1), IFERROR(MONTH($D$2+32)&amp;"/"&amp;INDEX(Bills1[Date &lt;d&gt;], ROWS($B$1:$B43))&amp;"/"&amp;$C$51, IFERROR(MONTH($D$2+32)&amp;"/"&amp;INDEX(DAY(Bills2[Date &lt;d&gt;]), (ROWS($B$1:$B43)-ROWS(Bills1[Date &lt;d&gt;])))&amp;"/"&amp;$C$51, "")), IFERROR(MONTH($D$2+32)&amp;"/"&amp;INDEX(Bills1[Date &lt;d&gt;], ROWS($B$1:$B43)), IFERROR(MONTH($D$2+32)&amp;"/"&amp;INDEX(DAY(Bills2[Date &lt;d&gt;]), (ROWS($B$1:$B43)-ROWS(Bills1[Date &lt;d&gt;]))), ""))), "")</f>
        <v/>
      </c>
      <c r="H44" s="130" t="str">
        <f>IF(IFERROR(INDEX(Bills1[Amount],ROWS($B$1:$B43)),IFERROR(INDEX(Bills2[Amount],(ROWS($B$1:$B43)-ROWS(Bills1[Amount]))),))&gt;0,-IFERROR(INDEX(Bills1[Amount],ROWS($B$1:$B43)),IFERROR(INDEX(Bills2[Amount],(ROWS($B$1:$B43)-ROWS(Bills1[Amount]))),)), "")</f>
        <v/>
      </c>
      <c r="J44" s="129" t="str">
        <f ca="1">IF(ISNUMBER(bills_curr_plus3[[#This Row],[bills]]), IF(OR(MONTH($G$2)=12, YEAR($G$2)=YEAR(TODAY())+1), IFERROR(MONTH($G$2+32)&amp;"/"&amp;INDEX(Bills1[Date &lt;d&gt;], ROWS($B$1:$B43))&amp;"/"&amp;$C$51, IFERROR(MONTH($G$2+32)&amp;"/"&amp;INDEX(DAY(Bills2[Date &lt;d&gt;]), (ROWS($B$1:$B43)-ROWS(Bills1[Date &lt;d&gt;])))&amp;"/"&amp;$C$51, "")), IFERROR(MONTH($G$2+32)&amp;"/"&amp;INDEX(Bills1[Date &lt;d&gt;], ROWS($B$1:$B43)), IFERROR(MONTH($G$2+32)&amp;"/"&amp;INDEX(DAY(Bills2[Date &lt;d&gt;]), (ROWS($B$1:$B43)-ROWS(Bills1[Date &lt;d&gt;]))), ""))), "")</f>
        <v/>
      </c>
      <c r="K44" s="130" t="str">
        <f>IF(IFERROR(INDEX(Bills1[Amount],ROWS($B$1:$B43)),IFERROR(INDEX(Bills2[Amount],(ROWS($B$1:$B43)-ROWS(Bills1[Amount]))),))&gt;0,-IFERROR(INDEX(Bills1[Amount],ROWS($B$1:$B43)),IFERROR(INDEX(Bills2[Amount],(ROWS($B$1:$B43)-ROWS(Bills1[Amount]))),)), "")</f>
        <v/>
      </c>
      <c r="M44" s="129" t="str">
        <f ca="1">IF(ISNUMBER(bills_curr_plus4[[#This Row],[bills]]), IF(OR(MONTH($J$2)=12, YEAR($J$2)=YEAR(TODAY())+1), IFERROR(MONTH($J$2+32)&amp;"/"&amp;INDEX(Bills1[Date &lt;d&gt;], ROWS($B$1:$B43))&amp;"/"&amp;$C$51, IFERROR(MONTH($J$2+32)&amp;"/"&amp;INDEX(DAY(Bills2[Date &lt;d&gt;]), (ROWS($B$1:$B43)-ROWS(Bills1[Date &lt;d&gt;])))&amp;"/"&amp;$C$51, "")), IFERROR(MONTH($J$2+32)&amp;"/"&amp;INDEX(Bills1[Date &lt;d&gt;], ROWS($B$1:$B43)), IFERROR(MONTH($J$2+32)&amp;"/"&amp;INDEX(DAY(Bills2[Date &lt;d&gt;]), (ROWS($B$1:$B43)-ROWS(Bills1[Date &lt;d&gt;]))), ""))), "")</f>
        <v/>
      </c>
      <c r="N44" s="130" t="str">
        <f>IF(IFERROR(INDEX(Bills1[Amount],ROWS($B$1:$B43)),IFERROR(INDEX(Bills2[Amount],(ROWS($B$1:$B43)-ROWS(Bills1[Amount]))),))&gt;0,-IFERROR(INDEX(Bills1[Amount],ROWS($B$1:$B43)),IFERROR(INDEX(Bills2[Amount],(ROWS($B$1:$B43)-ROWS(Bills1[Amount]))),)), "")</f>
        <v/>
      </c>
      <c r="P44" s="129" t="str">
        <f ca="1">IF(ISNUMBER(bills_curr_plus5[[#This Row],[bills]]), IF(OR(MONTH($M$2)=12, YEAR($M$2)=YEAR(TODAY())+1), IFERROR(MONTH($M$2+32)&amp;"/"&amp;INDEX(Bills1[Date &lt;d&gt;], ROWS($B$1:$B43))&amp;"/"&amp;$C$51, IFERROR(MONTH($M$2+32)&amp;"/"&amp;INDEX(DAY(Bills2[Date &lt;d&gt;]), (ROWS($B$1:$B43)-ROWS(Bills1[Date &lt;d&gt;])))&amp;"/"&amp;$C$51, "")), IFERROR(MONTH($M$2+32)&amp;"/"&amp;INDEX(Bills1[Date &lt;d&gt;], ROWS($B$1:$B43)), IFERROR(MONTH($M$2+32)&amp;"/"&amp;INDEX(DAY(Bills2[Date &lt;d&gt;]), (ROWS($B$1:$B43)-ROWS(Bills1[Date &lt;d&gt;]))), ""))), "")</f>
        <v/>
      </c>
      <c r="Q44" s="130" t="str">
        <f>IF(IFERROR(INDEX(Bills1[Amount],ROWS($B$1:$B43)),IFERROR(INDEX(Bills2[Amount],(ROWS($B$1:$B43)-ROWS(Bills1[Amount]))),))&gt;0,-IFERROR(INDEX(Bills1[Amount],ROWS($B$1:$B43)),IFERROR(INDEX(Bills2[Amount],(ROWS($B$1:$B43)-ROWS(Bills1[Amount]))),)), "")</f>
        <v/>
      </c>
      <c r="R44" s="130"/>
      <c r="S44" s="129" t="str">
        <f ca="1">IF(ISNUMBER(bills_curr_plus6[[#This Row],[bills]]),
IF(OR(MONTH($P$2)=12, YEAR($P$2)=YEAR(TODAY())+1),
IFERROR(MONTH($P$2+32)&amp;"/"&amp;INDEX(Bills1[Date &lt;d&gt;], ROWS($B$1:$B43))&amp;"/"&amp;$C$51,
IFERROR(MONTH($P$2+32)&amp;"/"&amp;INDEX(DAY(Bills2[Date &lt;d&gt;]), (ROWS($B$1:$B43)-ROWS(Bills1[Date &lt;d&gt;])))&amp;"/"&amp;$C$51, "")),
IFERROR(MONTH($P$2+32)&amp;"/"&amp;INDEX(Bills1[Date &lt;d&gt;], ROWS($B$1:$B43)),
IFERROR(MONTH($P$2+32)&amp;"/"&amp;INDEX(DAY(Bills2[Date &lt;d&gt;]), (ROWS($B$1:$B43)-ROWS(Bills1[Date &lt;d&gt;]))), ""))), "")</f>
        <v/>
      </c>
      <c r="T44" s="130" t="str">
        <f>IF(IFERROR(INDEX(Bills1[Amount],ROWS($B$1:$B43)),
IFERROR(INDEX(Bills2[Amount],(ROWS($B$1:$B43)-ROWS(Bills1[Amount]))),))&gt;0,
-IFERROR(INDEX(Bills1[Amount],ROWS($B$1:$B43)),
IFERROR(INDEX(Bills2[Amount],(ROWS($B$1:$B43)-ROWS(Bills1[Amount]))),)), "")</f>
        <v/>
      </c>
      <c r="V44" s="129">
        <v>43812</v>
      </c>
      <c r="W44" s="1">
        <f>DAY(income_future[[#This Row],[dates]])</f>
        <v>13</v>
      </c>
      <c r="X44" s="130">
        <f ca="1">SUMIF(income_curr[mod( )], MOD(V44, 14), income_curr[income])</f>
        <v>0</v>
      </c>
      <c r="Z44" s="132" t="str">
        <f ca="1">IF(TEXT(Table10[[#This Row],[dates]], "ddd")="Mon", 999999999, "")</f>
        <v/>
      </c>
      <c r="AA44" s="132" t="str">
        <f ca="1">IF(TODAY()=Table10[[#This Row],[dates]], TEXT(DATE(2019, MONTH(Table10[[#This Row],[dates]]), 1), "mmm"), IFERROR(IF(MONTH(Table10[[#This Row],[dates]])&lt;&gt;MONTH(AC43), TEXT(DATE(2019, MONTH(Table10[[#This Row],[dates]]), 1), "mmm"), ""), ""))</f>
        <v/>
      </c>
      <c r="AB44" s="133">
        <f ca="1">DAY('Data Preparation'!$AC44)</f>
        <v>22</v>
      </c>
      <c r="AC44" s="143">
        <f t="shared" ca="1" si="1"/>
        <v>43821</v>
      </c>
      <c r="AD44"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4" s="136">
        <f ca="1">IFERROR(
IF(MONTH(Table10[[#This Row],[dates]])&lt;&gt;MONTH($AC43), Table10[[#This Row],[delta $]]+AE43-SUM(Bills3[Amount]), N("deducts other bills at the end of each month")+
IF(Table10[[#This Row],[delta $]]&lt;&gt;0, Table10[[#This Row],[delta $]]+AE43,
AE43)),
"")</f>
        <v>3356</v>
      </c>
      <c r="AF44" s="136">
        <f ca="1">Table10[[#This Row],[sum per date]]-IF(MONTH(Table10[[#This Row],[dates]])=MONTH(TODAY()),
SUMIF(Bills3[Paid?], "&lt;&gt;Y", Bills3[Amount]), SUM(Bills3[Amount]))</f>
        <v>2736</v>
      </c>
      <c r="AG44" s="136" t="e">
        <f ca="1">IF(AND(
Table10[[#This Row],[fluctuation]]=MIN(INDEX(Table10[fluctuation], MATCH(TODAY(),Table10[dates], 0)):INDEX(Table10[fluctuation], MATCH(end_date,Table10[dates], 0))),
OR(ISNA(INDEX($AF$2:AF43, MATCH(Table10[[#This Row],[fluctuation]], $AF$2:AF43, 0))), ROW(AG44)=2)),
Table10[[#This Row],[fluctuation]],
NA())</f>
        <v>#N/A</v>
      </c>
    </row>
    <row r="45" spans="1:33" x14ac:dyDescent="0.25">
      <c r="A45" s="129" t="str">
        <f ca="1">IF(ISNUMBER(bills_curr_mo[[#This Row],[bills]]), IFERROR(MONTH(TODAY())&amp;"/"&amp;INDEX(Bills1[Date &lt;d&gt;], ROWS(B$1:$B44)), IFERROR(MONTH(TODAY())&amp;"/"&amp;INDEX(DAY(Bills2[Date &lt;d&gt;]), (ROWS(B$1:$B44)-ROWS(Bills1[Date &lt;d&gt;]))), "")), "")</f>
        <v/>
      </c>
      <c r="B45" s="130" t="str">
        <f>IF(IFERROR(INDEX(Bills1[Amount],ROWS($B$1:$B44)),IFERROR(INDEX(Bills2[Amount],(ROWS($B$1:$B44)-ROWS(Bills1[Amount]))),))&gt;0,-IFERROR(INDEX(Bills1[Amount],ROWS($B$1:$B44)),IFERROR(INDEX(Bills2[Amount],(ROWS($B$1:$B44)-ROWS(Bills1[Amount]))),)), "")</f>
        <v/>
      </c>
      <c r="D45" s="129" t="str">
        <f ca="1">IF(ISNUMBER(bills_curr_plus1[[#This Row],[bills]]), IF(OR(MONTH($A$2)=12, YEAR($A$2)=YEAR(TODAY())+1), IFERROR(MONTH($A$2+32)&amp;"/"&amp;INDEX(Bills1[Date &lt;d&gt;], ROWS($B$1:$B44))&amp;"/"&amp;$C$51, IFERROR(MONTH($A$2+32)&amp;"/"&amp;INDEX(DAY(Bills2[Date &lt;d&gt;]), (ROWS($B$1:$B44)-ROWS(Bills1[Date &lt;d&gt;])))&amp;"/"&amp;$C$51, "")), IFERROR(MONTH($A$2+32)&amp;"/"&amp;INDEX(Bills1[Date &lt;d&gt;], ROWS($B$1:$B44)), IFERROR(MONTH($A$2+32)&amp;"/"&amp;INDEX(DAY(Bills2[Date &lt;d&gt;]), (ROWS($B$1:$B44)-ROWS(Bills1[Date &lt;d&gt;]))), ""))), "")</f>
        <v/>
      </c>
      <c r="E45" s="130" t="str">
        <f>IF(IFERROR(INDEX(Bills1[Amount],ROWS($B$1:$B44)),IFERROR(INDEX(Bills2[Amount],(ROWS($B$1:$B44)-ROWS(Bills1[Amount]))),))&gt;0,-IFERROR(INDEX(Bills1[Amount],ROWS($B$1:$B44)),IFERROR(INDEX(Bills2[Amount],(ROWS($B$1:$B44)-ROWS(Bills1[Amount]))),)), "")</f>
        <v/>
      </c>
      <c r="G45" s="129" t="str">
        <f ca="1">IF(ISNUMBER(bills_curr_plus2[[#This Row],[bills]]), IF(OR(MONTH($D$2)=12, YEAR($D$2)=YEAR(TODAY())+1), IFERROR(MONTH($D$2+32)&amp;"/"&amp;INDEX(Bills1[Date &lt;d&gt;], ROWS($B$1:$B44))&amp;"/"&amp;$C$51, IFERROR(MONTH($D$2+32)&amp;"/"&amp;INDEX(DAY(Bills2[Date &lt;d&gt;]), (ROWS($B$1:$B44)-ROWS(Bills1[Date &lt;d&gt;])))&amp;"/"&amp;$C$51, "")), IFERROR(MONTH($D$2+32)&amp;"/"&amp;INDEX(Bills1[Date &lt;d&gt;], ROWS($B$1:$B44)), IFERROR(MONTH($D$2+32)&amp;"/"&amp;INDEX(DAY(Bills2[Date &lt;d&gt;]), (ROWS($B$1:$B44)-ROWS(Bills1[Date &lt;d&gt;]))), ""))), "")</f>
        <v/>
      </c>
      <c r="H45" s="130" t="str">
        <f>IF(IFERROR(INDEX(Bills1[Amount],ROWS($B$1:$B44)),IFERROR(INDEX(Bills2[Amount],(ROWS($B$1:$B44)-ROWS(Bills1[Amount]))),))&gt;0,-IFERROR(INDEX(Bills1[Amount],ROWS($B$1:$B44)),IFERROR(INDEX(Bills2[Amount],(ROWS($B$1:$B44)-ROWS(Bills1[Amount]))),)), "")</f>
        <v/>
      </c>
      <c r="J45" s="129" t="str">
        <f ca="1">IF(ISNUMBER(bills_curr_plus3[[#This Row],[bills]]), IF(OR(MONTH($G$2)=12, YEAR($G$2)=YEAR(TODAY())+1), IFERROR(MONTH($G$2+32)&amp;"/"&amp;INDEX(Bills1[Date &lt;d&gt;], ROWS($B$1:$B44))&amp;"/"&amp;$C$51, IFERROR(MONTH($G$2+32)&amp;"/"&amp;INDEX(DAY(Bills2[Date &lt;d&gt;]), (ROWS($B$1:$B44)-ROWS(Bills1[Date &lt;d&gt;])))&amp;"/"&amp;$C$51, "")), IFERROR(MONTH($G$2+32)&amp;"/"&amp;INDEX(Bills1[Date &lt;d&gt;], ROWS($B$1:$B44)), IFERROR(MONTH($G$2+32)&amp;"/"&amp;INDEX(DAY(Bills2[Date &lt;d&gt;]), (ROWS($B$1:$B44)-ROWS(Bills1[Date &lt;d&gt;]))), ""))), "")</f>
        <v/>
      </c>
      <c r="K45" s="130" t="str">
        <f>IF(IFERROR(INDEX(Bills1[Amount],ROWS($B$1:$B44)),IFERROR(INDEX(Bills2[Amount],(ROWS($B$1:$B44)-ROWS(Bills1[Amount]))),))&gt;0,-IFERROR(INDEX(Bills1[Amount],ROWS($B$1:$B44)),IFERROR(INDEX(Bills2[Amount],(ROWS($B$1:$B44)-ROWS(Bills1[Amount]))),)), "")</f>
        <v/>
      </c>
      <c r="M45" s="129" t="str">
        <f ca="1">IF(ISNUMBER(bills_curr_plus4[[#This Row],[bills]]), IF(OR(MONTH($J$2)=12, YEAR($J$2)=YEAR(TODAY())+1), IFERROR(MONTH($J$2+32)&amp;"/"&amp;INDEX(Bills1[Date &lt;d&gt;], ROWS($B$1:$B44))&amp;"/"&amp;$C$51, IFERROR(MONTH($J$2+32)&amp;"/"&amp;INDEX(DAY(Bills2[Date &lt;d&gt;]), (ROWS($B$1:$B44)-ROWS(Bills1[Date &lt;d&gt;])))&amp;"/"&amp;$C$51, "")), IFERROR(MONTH($J$2+32)&amp;"/"&amp;INDEX(Bills1[Date &lt;d&gt;], ROWS($B$1:$B44)), IFERROR(MONTH($J$2+32)&amp;"/"&amp;INDEX(DAY(Bills2[Date &lt;d&gt;]), (ROWS($B$1:$B44)-ROWS(Bills1[Date &lt;d&gt;]))), ""))), "")</f>
        <v/>
      </c>
      <c r="N45" s="130" t="str">
        <f>IF(IFERROR(INDEX(Bills1[Amount],ROWS($B$1:$B44)),IFERROR(INDEX(Bills2[Amount],(ROWS($B$1:$B44)-ROWS(Bills1[Amount]))),))&gt;0,-IFERROR(INDEX(Bills1[Amount],ROWS($B$1:$B44)),IFERROR(INDEX(Bills2[Amount],(ROWS($B$1:$B44)-ROWS(Bills1[Amount]))),)), "")</f>
        <v/>
      </c>
      <c r="P45" s="129" t="str">
        <f ca="1">IF(ISNUMBER(bills_curr_plus5[[#This Row],[bills]]), IF(OR(MONTH($M$2)=12, YEAR($M$2)=YEAR(TODAY())+1), IFERROR(MONTH($M$2+32)&amp;"/"&amp;INDEX(Bills1[Date &lt;d&gt;], ROWS($B$1:$B44))&amp;"/"&amp;$C$51, IFERROR(MONTH($M$2+32)&amp;"/"&amp;INDEX(DAY(Bills2[Date &lt;d&gt;]), (ROWS($B$1:$B44)-ROWS(Bills1[Date &lt;d&gt;])))&amp;"/"&amp;$C$51, "")), IFERROR(MONTH($M$2+32)&amp;"/"&amp;INDEX(Bills1[Date &lt;d&gt;], ROWS($B$1:$B44)), IFERROR(MONTH($M$2+32)&amp;"/"&amp;INDEX(DAY(Bills2[Date &lt;d&gt;]), (ROWS($B$1:$B44)-ROWS(Bills1[Date &lt;d&gt;]))), ""))), "")</f>
        <v/>
      </c>
      <c r="Q45" s="130" t="str">
        <f>IF(IFERROR(INDEX(Bills1[Amount],ROWS($B$1:$B44)),IFERROR(INDEX(Bills2[Amount],(ROWS($B$1:$B44)-ROWS(Bills1[Amount]))),))&gt;0,-IFERROR(INDEX(Bills1[Amount],ROWS($B$1:$B44)),IFERROR(INDEX(Bills2[Amount],(ROWS($B$1:$B44)-ROWS(Bills1[Amount]))),)), "")</f>
        <v/>
      </c>
      <c r="R45" s="130"/>
      <c r="S45" s="129" t="str">
        <f ca="1">IF(ISNUMBER(bills_curr_plus6[[#This Row],[bills]]),
IF(OR(MONTH($P$2)=12, YEAR($P$2)=YEAR(TODAY())+1),
IFERROR(MONTH($P$2+32)&amp;"/"&amp;INDEX(Bills1[Date &lt;d&gt;], ROWS($B$1:$B44))&amp;"/"&amp;$C$51,
IFERROR(MONTH($P$2+32)&amp;"/"&amp;INDEX(DAY(Bills2[Date &lt;d&gt;]), (ROWS($B$1:$B44)-ROWS(Bills1[Date &lt;d&gt;])))&amp;"/"&amp;$C$51, "")),
IFERROR(MONTH($P$2+32)&amp;"/"&amp;INDEX(Bills1[Date &lt;d&gt;], ROWS($B$1:$B44)),
IFERROR(MONTH($P$2+32)&amp;"/"&amp;INDEX(DAY(Bills2[Date &lt;d&gt;]), (ROWS($B$1:$B44)-ROWS(Bills1[Date &lt;d&gt;]))), ""))), "")</f>
        <v/>
      </c>
      <c r="T45" s="130" t="str">
        <f>IF(IFERROR(INDEX(Bills1[Amount],ROWS($B$1:$B44)),
IFERROR(INDEX(Bills2[Amount],(ROWS($B$1:$B44)-ROWS(Bills1[Amount]))),))&gt;0,
-IFERROR(INDEX(Bills1[Amount],ROWS($B$1:$B44)),
IFERROR(INDEX(Bills2[Amount],(ROWS($B$1:$B44)-ROWS(Bills1[Amount]))),)), "")</f>
        <v/>
      </c>
      <c r="V45" s="129">
        <v>43813</v>
      </c>
      <c r="W45" s="1">
        <f>DAY(income_future[[#This Row],[dates]])</f>
        <v>14</v>
      </c>
      <c r="X45" s="130">
        <f ca="1">SUMIF(income_curr[mod( )], MOD(V45, 14), income_curr[income])</f>
        <v>1000</v>
      </c>
      <c r="Z45" s="132">
        <f ca="1">IF(TEXT(Table10[[#This Row],[dates]], "ddd")="Mon", 999999999, "")</f>
        <v>999999999</v>
      </c>
      <c r="AA45" s="132" t="str">
        <f ca="1">IF(TODAY()=Table10[[#This Row],[dates]], TEXT(DATE(2019, MONTH(Table10[[#This Row],[dates]]), 1), "mmm"), IFERROR(IF(MONTH(Table10[[#This Row],[dates]])&lt;&gt;MONTH(AC44), TEXT(DATE(2019, MONTH(Table10[[#This Row],[dates]]), 1), "mmm"), ""), ""))</f>
        <v/>
      </c>
      <c r="AB45" s="133">
        <f ca="1">DAY('Data Preparation'!$AC45)</f>
        <v>23</v>
      </c>
      <c r="AC45" s="143">
        <f t="shared" ca="1" si="1"/>
        <v>43822</v>
      </c>
      <c r="AD45"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5" s="136">
        <f ca="1">IFERROR(
IF(MONTH(Table10[[#This Row],[dates]])&lt;&gt;MONTH($AC44), Table10[[#This Row],[delta $]]+AE44-SUM(Bills3[Amount]), N("deducts other bills at the end of each month")+
IF(Table10[[#This Row],[delta $]]&lt;&gt;0, Table10[[#This Row],[delta $]]+AE44,
AE44)),
"")</f>
        <v>3356</v>
      </c>
      <c r="AF45" s="136">
        <f ca="1">Table10[[#This Row],[sum per date]]-IF(MONTH(Table10[[#This Row],[dates]])=MONTH(TODAY()),
SUMIF(Bills3[Paid?], "&lt;&gt;Y", Bills3[Amount]), SUM(Bills3[Amount]))</f>
        <v>2736</v>
      </c>
      <c r="AG45" s="136" t="e">
        <f ca="1">IF(AND(
Table10[[#This Row],[fluctuation]]=MIN(INDEX(Table10[fluctuation], MATCH(TODAY(),Table10[dates], 0)):INDEX(Table10[fluctuation], MATCH(end_date,Table10[dates], 0))),
OR(ISNA(INDEX($AF$2:AF44, MATCH(Table10[[#This Row],[fluctuation]], $AF$2:AF44, 0))), ROW(AG45)=2)),
Table10[[#This Row],[fluctuation]],
NA())</f>
        <v>#N/A</v>
      </c>
    </row>
    <row r="46" spans="1:33" x14ac:dyDescent="0.25">
      <c r="A46" s="129" t="str">
        <f ca="1">IF(ISNUMBER(bills_curr_mo[[#This Row],[bills]]), IFERROR(MONTH(TODAY())&amp;"/"&amp;INDEX(Bills1[Date &lt;d&gt;], ROWS(B$1:$B45)), IFERROR(MONTH(TODAY())&amp;"/"&amp;INDEX(DAY(Bills2[Date &lt;d&gt;]), (ROWS(B$1:$B45)-ROWS(Bills1[Date &lt;d&gt;]))), "")), "")</f>
        <v/>
      </c>
      <c r="B46" s="130" t="str">
        <f>IF(IFERROR(INDEX(Bills1[Amount],ROWS($B$1:$B45)),IFERROR(INDEX(Bills2[Amount],(ROWS($B$1:$B45)-ROWS(Bills1[Amount]))),))&gt;0,-IFERROR(INDEX(Bills1[Amount],ROWS($B$1:$B45)),IFERROR(INDEX(Bills2[Amount],(ROWS($B$1:$B45)-ROWS(Bills1[Amount]))),)), "")</f>
        <v/>
      </c>
      <c r="D46" s="129" t="str">
        <f ca="1">IF(ISNUMBER(bills_curr_plus1[[#This Row],[bills]]), IF(OR(MONTH($A$2)=12, YEAR($A$2)=YEAR(TODAY())+1), IFERROR(MONTH($A$2+32)&amp;"/"&amp;INDEX(Bills1[Date &lt;d&gt;], ROWS($B$1:$B45))&amp;"/"&amp;$C$51, IFERROR(MONTH($A$2+32)&amp;"/"&amp;INDEX(DAY(Bills2[Date &lt;d&gt;]), (ROWS($B$1:$B45)-ROWS(Bills1[Date &lt;d&gt;])))&amp;"/"&amp;$C$51, "")), IFERROR(MONTH($A$2+32)&amp;"/"&amp;INDEX(Bills1[Date &lt;d&gt;], ROWS($B$1:$B45)), IFERROR(MONTH($A$2+32)&amp;"/"&amp;INDEX(DAY(Bills2[Date &lt;d&gt;]), (ROWS($B$1:$B45)-ROWS(Bills1[Date &lt;d&gt;]))), ""))), "")</f>
        <v/>
      </c>
      <c r="E46" s="130" t="str">
        <f>IF(IFERROR(INDEX(Bills1[Amount],ROWS($B$1:$B45)),IFERROR(INDEX(Bills2[Amount],(ROWS($B$1:$B45)-ROWS(Bills1[Amount]))),))&gt;0,-IFERROR(INDEX(Bills1[Amount],ROWS($B$1:$B45)),IFERROR(INDEX(Bills2[Amount],(ROWS($B$1:$B45)-ROWS(Bills1[Amount]))),)), "")</f>
        <v/>
      </c>
      <c r="G46" s="129" t="str">
        <f ca="1">IF(ISNUMBER(bills_curr_plus2[[#This Row],[bills]]), IF(OR(MONTH($D$2)=12, YEAR($D$2)=YEAR(TODAY())+1), IFERROR(MONTH($D$2+32)&amp;"/"&amp;INDEX(Bills1[Date &lt;d&gt;], ROWS($B$1:$B45))&amp;"/"&amp;$C$51, IFERROR(MONTH($D$2+32)&amp;"/"&amp;INDEX(DAY(Bills2[Date &lt;d&gt;]), (ROWS($B$1:$B45)-ROWS(Bills1[Date &lt;d&gt;])))&amp;"/"&amp;$C$51, "")), IFERROR(MONTH($D$2+32)&amp;"/"&amp;INDEX(Bills1[Date &lt;d&gt;], ROWS($B$1:$B45)), IFERROR(MONTH($D$2+32)&amp;"/"&amp;INDEX(DAY(Bills2[Date &lt;d&gt;]), (ROWS($B$1:$B45)-ROWS(Bills1[Date &lt;d&gt;]))), ""))), "")</f>
        <v/>
      </c>
      <c r="H46" s="130" t="str">
        <f>IF(IFERROR(INDEX(Bills1[Amount],ROWS($B$1:$B45)),IFERROR(INDEX(Bills2[Amount],(ROWS($B$1:$B45)-ROWS(Bills1[Amount]))),))&gt;0,-IFERROR(INDEX(Bills1[Amount],ROWS($B$1:$B45)),IFERROR(INDEX(Bills2[Amount],(ROWS($B$1:$B45)-ROWS(Bills1[Amount]))),)), "")</f>
        <v/>
      </c>
      <c r="J46" s="129" t="str">
        <f ca="1">IF(ISNUMBER(bills_curr_plus3[[#This Row],[bills]]), IF(OR(MONTH($G$2)=12, YEAR($G$2)=YEAR(TODAY())+1), IFERROR(MONTH($G$2+32)&amp;"/"&amp;INDEX(Bills1[Date &lt;d&gt;], ROWS($B$1:$B45))&amp;"/"&amp;$C$51, IFERROR(MONTH($G$2+32)&amp;"/"&amp;INDEX(DAY(Bills2[Date &lt;d&gt;]), (ROWS($B$1:$B45)-ROWS(Bills1[Date &lt;d&gt;])))&amp;"/"&amp;$C$51, "")), IFERROR(MONTH($G$2+32)&amp;"/"&amp;INDEX(Bills1[Date &lt;d&gt;], ROWS($B$1:$B45)), IFERROR(MONTH($G$2+32)&amp;"/"&amp;INDEX(DAY(Bills2[Date &lt;d&gt;]), (ROWS($B$1:$B45)-ROWS(Bills1[Date &lt;d&gt;]))), ""))), "")</f>
        <v/>
      </c>
      <c r="K46" s="130" t="str">
        <f>IF(IFERROR(INDEX(Bills1[Amount],ROWS($B$1:$B45)),IFERROR(INDEX(Bills2[Amount],(ROWS($B$1:$B45)-ROWS(Bills1[Amount]))),))&gt;0,-IFERROR(INDEX(Bills1[Amount],ROWS($B$1:$B45)),IFERROR(INDEX(Bills2[Amount],(ROWS($B$1:$B45)-ROWS(Bills1[Amount]))),)), "")</f>
        <v/>
      </c>
      <c r="M46" s="129" t="str">
        <f ca="1">IF(ISNUMBER(bills_curr_plus4[[#This Row],[bills]]), IF(OR(MONTH($J$2)=12, YEAR($J$2)=YEAR(TODAY())+1), IFERROR(MONTH($J$2+32)&amp;"/"&amp;INDEX(Bills1[Date &lt;d&gt;], ROWS($B$1:$B45))&amp;"/"&amp;$C$51, IFERROR(MONTH($J$2+32)&amp;"/"&amp;INDEX(DAY(Bills2[Date &lt;d&gt;]), (ROWS($B$1:$B45)-ROWS(Bills1[Date &lt;d&gt;])))&amp;"/"&amp;$C$51, "")), IFERROR(MONTH($J$2+32)&amp;"/"&amp;INDEX(Bills1[Date &lt;d&gt;], ROWS($B$1:$B45)), IFERROR(MONTH($J$2+32)&amp;"/"&amp;INDEX(DAY(Bills2[Date &lt;d&gt;]), (ROWS($B$1:$B45)-ROWS(Bills1[Date &lt;d&gt;]))), ""))), "")</f>
        <v/>
      </c>
      <c r="N46" s="130" t="str">
        <f>IF(IFERROR(INDEX(Bills1[Amount],ROWS($B$1:$B45)),IFERROR(INDEX(Bills2[Amount],(ROWS($B$1:$B45)-ROWS(Bills1[Amount]))),))&gt;0,-IFERROR(INDEX(Bills1[Amount],ROWS($B$1:$B45)),IFERROR(INDEX(Bills2[Amount],(ROWS($B$1:$B45)-ROWS(Bills1[Amount]))),)), "")</f>
        <v/>
      </c>
      <c r="P46" s="129" t="str">
        <f ca="1">IF(ISNUMBER(bills_curr_plus5[[#This Row],[bills]]), IF(OR(MONTH($M$2)=12, YEAR($M$2)=YEAR(TODAY())+1), IFERROR(MONTH($M$2+32)&amp;"/"&amp;INDEX(Bills1[Date &lt;d&gt;], ROWS($B$1:$B45))&amp;"/"&amp;$C$51, IFERROR(MONTH($M$2+32)&amp;"/"&amp;INDEX(DAY(Bills2[Date &lt;d&gt;]), (ROWS($B$1:$B45)-ROWS(Bills1[Date &lt;d&gt;])))&amp;"/"&amp;$C$51, "")), IFERROR(MONTH($M$2+32)&amp;"/"&amp;INDEX(Bills1[Date &lt;d&gt;], ROWS($B$1:$B45)), IFERROR(MONTH($M$2+32)&amp;"/"&amp;INDEX(DAY(Bills2[Date &lt;d&gt;]), (ROWS($B$1:$B45)-ROWS(Bills1[Date &lt;d&gt;]))), ""))), "")</f>
        <v/>
      </c>
      <c r="Q46" s="130" t="str">
        <f>IF(IFERROR(INDEX(Bills1[Amount],ROWS($B$1:$B45)),IFERROR(INDEX(Bills2[Amount],(ROWS($B$1:$B45)-ROWS(Bills1[Amount]))),))&gt;0,-IFERROR(INDEX(Bills1[Amount],ROWS($B$1:$B45)),IFERROR(INDEX(Bills2[Amount],(ROWS($B$1:$B45)-ROWS(Bills1[Amount]))),)), "")</f>
        <v/>
      </c>
      <c r="R46" s="130"/>
      <c r="S46" s="129" t="str">
        <f ca="1">IF(ISNUMBER(bills_curr_plus6[[#This Row],[bills]]),
IF(OR(MONTH($P$2)=12, YEAR($P$2)=YEAR(TODAY())+1),
IFERROR(MONTH($P$2+32)&amp;"/"&amp;INDEX(Bills1[Date &lt;d&gt;], ROWS($B$1:$B45))&amp;"/"&amp;$C$51,
IFERROR(MONTH($P$2+32)&amp;"/"&amp;INDEX(DAY(Bills2[Date &lt;d&gt;]), (ROWS($B$1:$B45)-ROWS(Bills1[Date &lt;d&gt;])))&amp;"/"&amp;$C$51, "")),
IFERROR(MONTH($P$2+32)&amp;"/"&amp;INDEX(Bills1[Date &lt;d&gt;], ROWS($B$1:$B45)),
IFERROR(MONTH($P$2+32)&amp;"/"&amp;INDEX(DAY(Bills2[Date &lt;d&gt;]), (ROWS($B$1:$B45)-ROWS(Bills1[Date &lt;d&gt;]))), ""))), "")</f>
        <v/>
      </c>
      <c r="T46" s="130" t="str">
        <f>IF(IFERROR(INDEX(Bills1[Amount],ROWS($B$1:$B45)),
IFERROR(INDEX(Bills2[Amount],(ROWS($B$1:$B45)-ROWS(Bills1[Amount]))),))&gt;0,
-IFERROR(INDEX(Bills1[Amount],ROWS($B$1:$B45)),
IFERROR(INDEX(Bills2[Amount],(ROWS($B$1:$B45)-ROWS(Bills1[Amount]))),)), "")</f>
        <v/>
      </c>
      <c r="V46" s="129">
        <v>43814</v>
      </c>
      <c r="W46" s="1">
        <f>DAY(income_future[[#This Row],[dates]])</f>
        <v>15</v>
      </c>
      <c r="X46" s="130">
        <f ca="1">SUMIF(income_curr[mod( )], MOD(V46, 14), income_curr[income])</f>
        <v>0</v>
      </c>
      <c r="Z46" s="132" t="str">
        <f ca="1">IF(TEXT(Table10[[#This Row],[dates]], "ddd")="Mon", 999999999, "")</f>
        <v/>
      </c>
      <c r="AA46" s="132" t="str">
        <f ca="1">IF(TODAY()=Table10[[#This Row],[dates]], TEXT(DATE(2019, MONTH(Table10[[#This Row],[dates]]), 1), "mmm"), IFERROR(IF(MONTH(Table10[[#This Row],[dates]])&lt;&gt;MONTH(AC45), TEXT(DATE(2019, MONTH(Table10[[#This Row],[dates]]), 1), "mmm"), ""), ""))</f>
        <v/>
      </c>
      <c r="AB46" s="133">
        <f ca="1">DAY('Data Preparation'!$AC46)</f>
        <v>24</v>
      </c>
      <c r="AC46" s="143">
        <f t="shared" ca="1" si="1"/>
        <v>43823</v>
      </c>
      <c r="AD46"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6" s="136">
        <f ca="1">IFERROR(
IF(MONTH(Table10[[#This Row],[dates]])&lt;&gt;MONTH($AC45), Table10[[#This Row],[delta $]]+AE45-SUM(Bills3[Amount]), N("deducts other bills at the end of each month")+
IF(Table10[[#This Row],[delta $]]&lt;&gt;0, Table10[[#This Row],[delta $]]+AE45,
AE45)),
"")</f>
        <v>3356</v>
      </c>
      <c r="AF46" s="136">
        <f ca="1">Table10[[#This Row],[sum per date]]-IF(MONTH(Table10[[#This Row],[dates]])=MONTH(TODAY()),
SUMIF(Bills3[Paid?], "&lt;&gt;Y", Bills3[Amount]), SUM(Bills3[Amount]))</f>
        <v>2736</v>
      </c>
      <c r="AG46" s="136" t="e">
        <f ca="1">IF(AND(
Table10[[#This Row],[fluctuation]]=MIN(INDEX(Table10[fluctuation], MATCH(TODAY(),Table10[dates], 0)):INDEX(Table10[fluctuation], MATCH(end_date,Table10[dates], 0))),
OR(ISNA(INDEX($AF$2:AF45, MATCH(Table10[[#This Row],[fluctuation]], $AF$2:AF45, 0))), ROW(AG46)=2)),
Table10[[#This Row],[fluctuation]],
NA())</f>
        <v>#N/A</v>
      </c>
    </row>
    <row r="47" spans="1:33" x14ac:dyDescent="0.25">
      <c r="A47" s="129" t="str">
        <f ca="1">IF(ISNUMBER(bills_curr_mo[[#This Row],[bills]]), IFERROR(MONTH(TODAY())&amp;"/"&amp;INDEX(Bills1[Date &lt;d&gt;], ROWS(B$1:$B46)), IFERROR(MONTH(TODAY())&amp;"/"&amp;INDEX(DAY(Bills2[Date &lt;d&gt;]), (ROWS(B$1:$B46)-ROWS(Bills1[Date &lt;d&gt;]))), "")), "")</f>
        <v/>
      </c>
      <c r="B47" s="130" t="str">
        <f>IF(IFERROR(INDEX(Bills1[Amount],ROWS($B$1:$B46)),IFERROR(INDEX(Bills2[Amount],(ROWS($B$1:$B46)-ROWS(Bills1[Amount]))),))&gt;0,-IFERROR(INDEX(Bills1[Amount],ROWS($B$1:$B46)),IFERROR(INDEX(Bills2[Amount],(ROWS($B$1:$B46)-ROWS(Bills1[Amount]))),)), "")</f>
        <v/>
      </c>
      <c r="D47" s="129" t="str">
        <f ca="1">IF(ISNUMBER(bills_curr_plus1[[#This Row],[bills]]), IF(OR(MONTH($A$2)=12, YEAR($A$2)=YEAR(TODAY())+1), IFERROR(MONTH($A$2+32)&amp;"/"&amp;INDEX(Bills1[Date &lt;d&gt;], ROWS($B$1:$B46))&amp;"/"&amp;$C$51, IFERROR(MONTH($A$2+32)&amp;"/"&amp;INDEX(DAY(Bills2[Date &lt;d&gt;]), (ROWS($B$1:$B46)-ROWS(Bills1[Date &lt;d&gt;])))&amp;"/"&amp;$C$51, "")), IFERROR(MONTH($A$2+32)&amp;"/"&amp;INDEX(Bills1[Date &lt;d&gt;], ROWS($B$1:$B46)), IFERROR(MONTH($A$2+32)&amp;"/"&amp;INDEX(DAY(Bills2[Date &lt;d&gt;]), (ROWS($B$1:$B46)-ROWS(Bills1[Date &lt;d&gt;]))), ""))), "")</f>
        <v/>
      </c>
      <c r="E47" s="130" t="str">
        <f>IF(IFERROR(INDEX(Bills1[Amount],ROWS($B$1:$B46)),IFERROR(INDEX(Bills2[Amount],(ROWS($B$1:$B46)-ROWS(Bills1[Amount]))),))&gt;0,-IFERROR(INDEX(Bills1[Amount],ROWS($B$1:$B46)),IFERROR(INDEX(Bills2[Amount],(ROWS($B$1:$B46)-ROWS(Bills1[Amount]))),)), "")</f>
        <v/>
      </c>
      <c r="G47" s="129" t="str">
        <f ca="1">IF(ISNUMBER(bills_curr_plus2[[#This Row],[bills]]), IF(OR(MONTH($D$2)=12, YEAR($D$2)=YEAR(TODAY())+1), IFERROR(MONTH($D$2+32)&amp;"/"&amp;INDEX(Bills1[Date &lt;d&gt;], ROWS($B$1:$B46))&amp;"/"&amp;$C$51, IFERROR(MONTH($D$2+32)&amp;"/"&amp;INDEX(DAY(Bills2[Date &lt;d&gt;]), (ROWS($B$1:$B46)-ROWS(Bills1[Date &lt;d&gt;])))&amp;"/"&amp;$C$51, "")), IFERROR(MONTH($D$2+32)&amp;"/"&amp;INDEX(Bills1[Date &lt;d&gt;], ROWS($B$1:$B46)), IFERROR(MONTH($D$2+32)&amp;"/"&amp;INDEX(DAY(Bills2[Date &lt;d&gt;]), (ROWS($B$1:$B46)-ROWS(Bills1[Date &lt;d&gt;]))), ""))), "")</f>
        <v/>
      </c>
      <c r="H47" s="130" t="str">
        <f>IF(IFERROR(INDEX(Bills1[Amount],ROWS($B$1:$B46)),IFERROR(INDEX(Bills2[Amount],(ROWS($B$1:$B46)-ROWS(Bills1[Amount]))),))&gt;0,-IFERROR(INDEX(Bills1[Amount],ROWS($B$1:$B46)),IFERROR(INDEX(Bills2[Amount],(ROWS($B$1:$B46)-ROWS(Bills1[Amount]))),)), "")</f>
        <v/>
      </c>
      <c r="J47" s="129" t="str">
        <f ca="1">IF(ISNUMBER(bills_curr_plus3[[#This Row],[bills]]), IF(OR(MONTH($G$2)=12, YEAR($G$2)=YEAR(TODAY())+1), IFERROR(MONTH($G$2+32)&amp;"/"&amp;INDEX(Bills1[Date &lt;d&gt;], ROWS($B$1:$B46))&amp;"/"&amp;$C$51, IFERROR(MONTH($G$2+32)&amp;"/"&amp;INDEX(DAY(Bills2[Date &lt;d&gt;]), (ROWS($B$1:$B46)-ROWS(Bills1[Date &lt;d&gt;])))&amp;"/"&amp;$C$51, "")), IFERROR(MONTH($G$2+32)&amp;"/"&amp;INDEX(Bills1[Date &lt;d&gt;], ROWS($B$1:$B46)), IFERROR(MONTH($G$2+32)&amp;"/"&amp;INDEX(DAY(Bills2[Date &lt;d&gt;]), (ROWS($B$1:$B46)-ROWS(Bills1[Date &lt;d&gt;]))), ""))), "")</f>
        <v/>
      </c>
      <c r="K47" s="130" t="str">
        <f>IF(IFERROR(INDEX(Bills1[Amount],ROWS($B$1:$B46)),IFERROR(INDEX(Bills2[Amount],(ROWS($B$1:$B46)-ROWS(Bills1[Amount]))),))&gt;0,-IFERROR(INDEX(Bills1[Amount],ROWS($B$1:$B46)),IFERROR(INDEX(Bills2[Amount],(ROWS($B$1:$B46)-ROWS(Bills1[Amount]))),)), "")</f>
        <v/>
      </c>
      <c r="M47" s="129" t="str">
        <f ca="1">IF(ISNUMBER(bills_curr_plus4[[#This Row],[bills]]), IF(OR(MONTH($J$2)=12, YEAR($J$2)=YEAR(TODAY())+1), IFERROR(MONTH($J$2+32)&amp;"/"&amp;INDEX(Bills1[Date &lt;d&gt;], ROWS($B$1:$B46))&amp;"/"&amp;$C$51, IFERROR(MONTH($J$2+32)&amp;"/"&amp;INDEX(DAY(Bills2[Date &lt;d&gt;]), (ROWS($B$1:$B46)-ROWS(Bills1[Date &lt;d&gt;])))&amp;"/"&amp;$C$51, "")), IFERROR(MONTH($J$2+32)&amp;"/"&amp;INDEX(Bills1[Date &lt;d&gt;], ROWS($B$1:$B46)), IFERROR(MONTH($J$2+32)&amp;"/"&amp;INDEX(DAY(Bills2[Date &lt;d&gt;]), (ROWS($B$1:$B46)-ROWS(Bills1[Date &lt;d&gt;]))), ""))), "")</f>
        <v/>
      </c>
      <c r="N47" s="130" t="str">
        <f>IF(IFERROR(INDEX(Bills1[Amount],ROWS($B$1:$B46)),IFERROR(INDEX(Bills2[Amount],(ROWS($B$1:$B46)-ROWS(Bills1[Amount]))),))&gt;0,-IFERROR(INDEX(Bills1[Amount],ROWS($B$1:$B46)),IFERROR(INDEX(Bills2[Amount],(ROWS($B$1:$B46)-ROWS(Bills1[Amount]))),)), "")</f>
        <v/>
      </c>
      <c r="P47" s="129" t="str">
        <f ca="1">IF(ISNUMBER(bills_curr_plus5[[#This Row],[bills]]), IF(OR(MONTH($M$2)=12, YEAR($M$2)=YEAR(TODAY())+1), IFERROR(MONTH($M$2+32)&amp;"/"&amp;INDEX(Bills1[Date &lt;d&gt;], ROWS($B$1:$B46))&amp;"/"&amp;$C$51, IFERROR(MONTH($M$2+32)&amp;"/"&amp;INDEX(DAY(Bills2[Date &lt;d&gt;]), (ROWS($B$1:$B46)-ROWS(Bills1[Date &lt;d&gt;])))&amp;"/"&amp;$C$51, "")), IFERROR(MONTH($M$2+32)&amp;"/"&amp;INDEX(Bills1[Date &lt;d&gt;], ROWS($B$1:$B46)), IFERROR(MONTH($M$2+32)&amp;"/"&amp;INDEX(DAY(Bills2[Date &lt;d&gt;]), (ROWS($B$1:$B46)-ROWS(Bills1[Date &lt;d&gt;]))), ""))), "")</f>
        <v/>
      </c>
      <c r="Q47" s="130" t="str">
        <f>IF(IFERROR(INDEX(Bills1[Amount],ROWS($B$1:$B46)),IFERROR(INDEX(Bills2[Amount],(ROWS($B$1:$B46)-ROWS(Bills1[Amount]))),))&gt;0,-IFERROR(INDEX(Bills1[Amount],ROWS($B$1:$B46)),IFERROR(INDEX(Bills2[Amount],(ROWS($B$1:$B46)-ROWS(Bills1[Amount]))),)), "")</f>
        <v/>
      </c>
      <c r="R47" s="130"/>
      <c r="S47" s="129" t="str">
        <f ca="1">IF(ISNUMBER(bills_curr_plus6[[#This Row],[bills]]),
IF(OR(MONTH($P$2)=12, YEAR($P$2)=YEAR(TODAY())+1),
IFERROR(MONTH($P$2+32)&amp;"/"&amp;INDEX(Bills1[Date &lt;d&gt;], ROWS($B$1:$B46))&amp;"/"&amp;$C$51,
IFERROR(MONTH($P$2+32)&amp;"/"&amp;INDEX(DAY(Bills2[Date &lt;d&gt;]), (ROWS($B$1:$B46)-ROWS(Bills1[Date &lt;d&gt;])))&amp;"/"&amp;$C$51, "")),
IFERROR(MONTH($P$2+32)&amp;"/"&amp;INDEX(Bills1[Date &lt;d&gt;], ROWS($B$1:$B46)),
IFERROR(MONTH($P$2+32)&amp;"/"&amp;INDEX(DAY(Bills2[Date &lt;d&gt;]), (ROWS($B$1:$B46)-ROWS(Bills1[Date &lt;d&gt;]))), ""))), "")</f>
        <v/>
      </c>
      <c r="T47" s="130" t="str">
        <f>IF(IFERROR(INDEX(Bills1[Amount],ROWS($B$1:$B46)),
IFERROR(INDEX(Bills2[Amount],(ROWS($B$1:$B46)-ROWS(Bills1[Amount]))),))&gt;0,
-IFERROR(INDEX(Bills1[Amount],ROWS($B$1:$B46)),
IFERROR(INDEX(Bills2[Amount],(ROWS($B$1:$B46)-ROWS(Bills1[Amount]))),)), "")</f>
        <v/>
      </c>
      <c r="V47" s="129">
        <v>43815</v>
      </c>
      <c r="W47" s="1">
        <f>DAY(income_future[[#This Row],[dates]])</f>
        <v>16</v>
      </c>
      <c r="X47" s="130">
        <f ca="1">SUMIF(income_curr[mod( )], MOD(V47, 14), income_curr[income])</f>
        <v>0</v>
      </c>
      <c r="Z47" s="132" t="str">
        <f ca="1">IF(TEXT(Table10[[#This Row],[dates]], "ddd")="Mon", 999999999, "")</f>
        <v/>
      </c>
      <c r="AA47" s="132" t="str">
        <f ca="1">IF(TODAY()=Table10[[#This Row],[dates]], TEXT(DATE(2019, MONTH(Table10[[#This Row],[dates]]), 1), "mmm"), IFERROR(IF(MONTH(Table10[[#This Row],[dates]])&lt;&gt;MONTH(AC46), TEXT(DATE(2019, MONTH(Table10[[#This Row],[dates]]), 1), "mmm"), ""), ""))</f>
        <v/>
      </c>
      <c r="AB47" s="133">
        <f ca="1">DAY('Data Preparation'!$AC47)</f>
        <v>25</v>
      </c>
      <c r="AC47" s="143">
        <f t="shared" ca="1" si="1"/>
        <v>43824</v>
      </c>
      <c r="AD47"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7" s="136">
        <f ca="1">IFERROR(
IF(MONTH(Table10[[#This Row],[dates]])&lt;&gt;MONTH($AC46), Table10[[#This Row],[delta $]]+AE46-SUM(Bills3[Amount]), N("deducts other bills at the end of each month")+
IF(Table10[[#This Row],[delta $]]&lt;&gt;0, Table10[[#This Row],[delta $]]+AE46,
AE46)),
"")</f>
        <v>3356</v>
      </c>
      <c r="AF47" s="136">
        <f ca="1">Table10[[#This Row],[sum per date]]-IF(MONTH(Table10[[#This Row],[dates]])=MONTH(TODAY()),
SUMIF(Bills3[Paid?], "&lt;&gt;Y", Bills3[Amount]), SUM(Bills3[Amount]))</f>
        <v>2736</v>
      </c>
      <c r="AG47" s="136" t="e">
        <f ca="1">IF(AND(
Table10[[#This Row],[fluctuation]]=MIN(INDEX(Table10[fluctuation], MATCH(TODAY(),Table10[dates], 0)):INDEX(Table10[fluctuation], MATCH(end_date,Table10[dates], 0))),
OR(ISNA(INDEX($AF$2:AF46, MATCH(Table10[[#This Row],[fluctuation]], $AF$2:AF46, 0))), ROW(AG47)=2)),
Table10[[#This Row],[fluctuation]],
NA())</f>
        <v>#N/A</v>
      </c>
    </row>
    <row r="48" spans="1:33" x14ac:dyDescent="0.25">
      <c r="A48" s="129" t="str">
        <f ca="1">IF(ISNUMBER(bills_curr_mo[[#This Row],[bills]]), IFERROR(MONTH(TODAY())&amp;"/"&amp;INDEX(Bills1[Date &lt;d&gt;], ROWS(B$1:$B47)), IFERROR(MONTH(TODAY())&amp;"/"&amp;INDEX(DAY(Bills2[Date &lt;d&gt;]), (ROWS(B$1:$B47)-ROWS(Bills1[Date &lt;d&gt;]))), "")), "")</f>
        <v/>
      </c>
      <c r="B48" s="130" t="str">
        <f>IF(IFERROR(INDEX(Bills1[Amount],ROWS($B$1:$B47)),IFERROR(INDEX(Bills2[Amount],(ROWS($B$1:$B47)-ROWS(Bills1[Amount]))),))&gt;0,-IFERROR(INDEX(Bills1[Amount],ROWS($B$1:$B47)),IFERROR(INDEX(Bills2[Amount],(ROWS($B$1:$B47)-ROWS(Bills1[Amount]))),)), "")</f>
        <v/>
      </c>
      <c r="D48" s="129" t="str">
        <f ca="1">IF(ISNUMBER(bills_curr_plus1[[#This Row],[bills]]), IF(OR(MONTH($A$2)=12, YEAR($A$2)=YEAR(TODAY())+1), IFERROR(MONTH($A$2+32)&amp;"/"&amp;INDEX(Bills1[Date &lt;d&gt;], ROWS($B$1:$B47))&amp;"/"&amp;$C$51, IFERROR(MONTH($A$2+32)&amp;"/"&amp;INDEX(DAY(Bills2[Date &lt;d&gt;]), (ROWS($B$1:$B47)-ROWS(Bills1[Date &lt;d&gt;])))&amp;"/"&amp;$C$51, "")), IFERROR(MONTH($A$2+32)&amp;"/"&amp;INDEX(Bills1[Date &lt;d&gt;], ROWS($B$1:$B47)), IFERROR(MONTH($A$2+32)&amp;"/"&amp;INDEX(DAY(Bills2[Date &lt;d&gt;]), (ROWS($B$1:$B47)-ROWS(Bills1[Date &lt;d&gt;]))), ""))), "")</f>
        <v/>
      </c>
      <c r="E48" s="130" t="str">
        <f>IF(IFERROR(INDEX(Bills1[Amount],ROWS($B$1:$B47)),IFERROR(INDEX(Bills2[Amount],(ROWS($B$1:$B47)-ROWS(Bills1[Amount]))),))&gt;0,-IFERROR(INDEX(Bills1[Amount],ROWS($B$1:$B47)),IFERROR(INDEX(Bills2[Amount],(ROWS($B$1:$B47)-ROWS(Bills1[Amount]))),)), "")</f>
        <v/>
      </c>
      <c r="G48" s="129" t="str">
        <f ca="1">IF(ISNUMBER(bills_curr_plus2[[#This Row],[bills]]), IF(OR(MONTH($D$2)=12, YEAR($D$2)=YEAR(TODAY())+1), IFERROR(MONTH($D$2+32)&amp;"/"&amp;INDEX(Bills1[Date &lt;d&gt;], ROWS($B$1:$B47))&amp;"/"&amp;$C$51, IFERROR(MONTH($D$2+32)&amp;"/"&amp;INDEX(DAY(Bills2[Date &lt;d&gt;]), (ROWS($B$1:$B47)-ROWS(Bills1[Date &lt;d&gt;])))&amp;"/"&amp;$C$51, "")), IFERROR(MONTH($D$2+32)&amp;"/"&amp;INDEX(Bills1[Date &lt;d&gt;], ROWS($B$1:$B47)), IFERROR(MONTH($D$2+32)&amp;"/"&amp;INDEX(DAY(Bills2[Date &lt;d&gt;]), (ROWS($B$1:$B47)-ROWS(Bills1[Date &lt;d&gt;]))), ""))), "")</f>
        <v/>
      </c>
      <c r="H48" s="130" t="str">
        <f>IF(IFERROR(INDEX(Bills1[Amount],ROWS($B$1:$B47)),IFERROR(INDEX(Bills2[Amount],(ROWS($B$1:$B47)-ROWS(Bills1[Amount]))),))&gt;0,-IFERROR(INDEX(Bills1[Amount],ROWS($B$1:$B47)),IFERROR(INDEX(Bills2[Amount],(ROWS($B$1:$B47)-ROWS(Bills1[Amount]))),)), "")</f>
        <v/>
      </c>
      <c r="J48" s="129" t="str">
        <f ca="1">IF(ISNUMBER(bills_curr_plus3[[#This Row],[bills]]), IF(OR(MONTH($G$2)=12, YEAR($G$2)=YEAR(TODAY())+1), IFERROR(MONTH($G$2+32)&amp;"/"&amp;INDEX(Bills1[Date &lt;d&gt;], ROWS($B$1:$B47))&amp;"/"&amp;$C$51, IFERROR(MONTH($G$2+32)&amp;"/"&amp;INDEX(DAY(Bills2[Date &lt;d&gt;]), (ROWS($B$1:$B47)-ROWS(Bills1[Date &lt;d&gt;])))&amp;"/"&amp;$C$51, "")), IFERROR(MONTH($G$2+32)&amp;"/"&amp;INDEX(Bills1[Date &lt;d&gt;], ROWS($B$1:$B47)), IFERROR(MONTH($G$2+32)&amp;"/"&amp;INDEX(DAY(Bills2[Date &lt;d&gt;]), (ROWS($B$1:$B47)-ROWS(Bills1[Date &lt;d&gt;]))), ""))), "")</f>
        <v/>
      </c>
      <c r="K48" s="130" t="str">
        <f>IF(IFERROR(INDEX(Bills1[Amount],ROWS($B$1:$B47)),IFERROR(INDEX(Bills2[Amount],(ROWS($B$1:$B47)-ROWS(Bills1[Amount]))),))&gt;0,-IFERROR(INDEX(Bills1[Amount],ROWS($B$1:$B47)),IFERROR(INDEX(Bills2[Amount],(ROWS($B$1:$B47)-ROWS(Bills1[Amount]))),)), "")</f>
        <v/>
      </c>
      <c r="M48" s="129" t="str">
        <f ca="1">IF(ISNUMBER(bills_curr_plus4[[#This Row],[bills]]), IF(OR(MONTH($J$2)=12, YEAR($J$2)=YEAR(TODAY())+1), IFERROR(MONTH($J$2+32)&amp;"/"&amp;INDEX(Bills1[Date &lt;d&gt;], ROWS($B$1:$B47))&amp;"/"&amp;$C$51, IFERROR(MONTH($J$2+32)&amp;"/"&amp;INDEX(DAY(Bills2[Date &lt;d&gt;]), (ROWS($B$1:$B47)-ROWS(Bills1[Date &lt;d&gt;])))&amp;"/"&amp;$C$51, "")), IFERROR(MONTH($J$2+32)&amp;"/"&amp;INDEX(Bills1[Date &lt;d&gt;], ROWS($B$1:$B47)), IFERROR(MONTH($J$2+32)&amp;"/"&amp;INDEX(DAY(Bills2[Date &lt;d&gt;]), (ROWS($B$1:$B47)-ROWS(Bills1[Date &lt;d&gt;]))), ""))), "")</f>
        <v/>
      </c>
      <c r="N48" s="130" t="str">
        <f>IF(IFERROR(INDEX(Bills1[Amount],ROWS($B$1:$B47)),IFERROR(INDEX(Bills2[Amount],(ROWS($B$1:$B47)-ROWS(Bills1[Amount]))),))&gt;0,-IFERROR(INDEX(Bills1[Amount],ROWS($B$1:$B47)),IFERROR(INDEX(Bills2[Amount],(ROWS($B$1:$B47)-ROWS(Bills1[Amount]))),)), "")</f>
        <v/>
      </c>
      <c r="P48" s="129" t="str">
        <f ca="1">IF(ISNUMBER(bills_curr_plus5[[#This Row],[bills]]), IF(OR(MONTH($M$2)=12, YEAR($M$2)=YEAR(TODAY())+1), IFERROR(MONTH($M$2+32)&amp;"/"&amp;INDEX(Bills1[Date &lt;d&gt;], ROWS($B$1:$B47))&amp;"/"&amp;$C$51, IFERROR(MONTH($M$2+32)&amp;"/"&amp;INDEX(DAY(Bills2[Date &lt;d&gt;]), (ROWS($B$1:$B47)-ROWS(Bills1[Date &lt;d&gt;])))&amp;"/"&amp;$C$51, "")), IFERROR(MONTH($M$2+32)&amp;"/"&amp;INDEX(Bills1[Date &lt;d&gt;], ROWS($B$1:$B47)), IFERROR(MONTH($M$2+32)&amp;"/"&amp;INDEX(DAY(Bills2[Date &lt;d&gt;]), (ROWS($B$1:$B47)-ROWS(Bills1[Date &lt;d&gt;]))), ""))), "")</f>
        <v/>
      </c>
      <c r="Q48" s="130" t="str">
        <f>IF(IFERROR(INDEX(Bills1[Amount],ROWS($B$1:$B47)),IFERROR(INDEX(Bills2[Amount],(ROWS($B$1:$B47)-ROWS(Bills1[Amount]))),))&gt;0,-IFERROR(INDEX(Bills1[Amount],ROWS($B$1:$B47)),IFERROR(INDEX(Bills2[Amount],(ROWS($B$1:$B47)-ROWS(Bills1[Amount]))),)), "")</f>
        <v/>
      </c>
      <c r="R48" s="130"/>
      <c r="S48" s="129" t="str">
        <f ca="1">IF(ISNUMBER(bills_curr_plus6[[#This Row],[bills]]),
IF(OR(MONTH($P$2)=12, YEAR($P$2)=YEAR(TODAY())+1),
IFERROR(MONTH($P$2+32)&amp;"/"&amp;INDEX(Bills1[Date &lt;d&gt;], ROWS($B$1:$B47))&amp;"/"&amp;$C$51,
IFERROR(MONTH($P$2+32)&amp;"/"&amp;INDEX(DAY(Bills2[Date &lt;d&gt;]), (ROWS($B$1:$B47)-ROWS(Bills1[Date &lt;d&gt;])))&amp;"/"&amp;$C$51, "")),
IFERROR(MONTH($P$2+32)&amp;"/"&amp;INDEX(Bills1[Date &lt;d&gt;], ROWS($B$1:$B47)),
IFERROR(MONTH($P$2+32)&amp;"/"&amp;INDEX(DAY(Bills2[Date &lt;d&gt;]), (ROWS($B$1:$B47)-ROWS(Bills1[Date &lt;d&gt;]))), ""))), "")</f>
        <v/>
      </c>
      <c r="T48" s="130" t="str">
        <f>IF(IFERROR(INDEX(Bills1[Amount],ROWS($B$1:$B47)),
IFERROR(INDEX(Bills2[Amount],(ROWS($B$1:$B47)-ROWS(Bills1[Amount]))),))&gt;0,
-IFERROR(INDEX(Bills1[Amount],ROWS($B$1:$B47)),
IFERROR(INDEX(Bills2[Amount],(ROWS($B$1:$B47)-ROWS(Bills1[Amount]))),)), "")</f>
        <v/>
      </c>
      <c r="V48" s="129">
        <v>43816</v>
      </c>
      <c r="W48" s="1">
        <f>DAY(income_future[[#This Row],[dates]])</f>
        <v>17</v>
      </c>
      <c r="X48" s="130">
        <f ca="1">SUMIF(income_curr[mod( )], MOD(V48, 14), income_curr[income])</f>
        <v>0</v>
      </c>
      <c r="Z48" s="132" t="str">
        <f ca="1">IF(TEXT(Table10[[#This Row],[dates]], "ddd")="Mon", 999999999, "")</f>
        <v/>
      </c>
      <c r="AA48" s="132" t="str">
        <f ca="1">IF(TODAY()=Table10[[#This Row],[dates]], TEXT(DATE(2019, MONTH(Table10[[#This Row],[dates]]), 1), "mmm"), IFERROR(IF(MONTH(Table10[[#This Row],[dates]])&lt;&gt;MONTH(AC47), TEXT(DATE(2019, MONTH(Table10[[#This Row],[dates]]), 1), "mmm"), ""), ""))</f>
        <v/>
      </c>
      <c r="AB48" s="133">
        <f ca="1">DAY('Data Preparation'!$AC48)</f>
        <v>26</v>
      </c>
      <c r="AC48" s="143">
        <f t="shared" ca="1" si="1"/>
        <v>43825</v>
      </c>
      <c r="AD48"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8" s="136">
        <f ca="1">IFERROR(
IF(MONTH(Table10[[#This Row],[dates]])&lt;&gt;MONTH($AC47), Table10[[#This Row],[delta $]]+AE47-SUM(Bills3[Amount]), N("deducts other bills at the end of each month")+
IF(Table10[[#This Row],[delta $]]&lt;&gt;0, Table10[[#This Row],[delta $]]+AE47,
AE47)),
"")</f>
        <v>3356</v>
      </c>
      <c r="AF48" s="136">
        <f ca="1">Table10[[#This Row],[sum per date]]-IF(MONTH(Table10[[#This Row],[dates]])=MONTH(TODAY()),
SUMIF(Bills3[Paid?], "&lt;&gt;Y", Bills3[Amount]), SUM(Bills3[Amount]))</f>
        <v>2736</v>
      </c>
      <c r="AG48" s="136" t="e">
        <f ca="1">IF(AND(
Table10[[#This Row],[fluctuation]]=MIN(INDEX(Table10[fluctuation], MATCH(TODAY(),Table10[dates], 0)):INDEX(Table10[fluctuation], MATCH(end_date,Table10[dates], 0))),
OR(ISNA(INDEX($AF$2:AF47, MATCH(Table10[[#This Row],[fluctuation]], $AF$2:AF47, 0))), ROW(AG48)=2)),
Table10[[#This Row],[fluctuation]],
NA())</f>
        <v>#N/A</v>
      </c>
    </row>
    <row r="49" spans="1:33" x14ac:dyDescent="0.25">
      <c r="A49" s="129" t="str">
        <f ca="1">IF(ISNUMBER(bills_curr_mo[[#This Row],[bills]]), IFERROR(MONTH(TODAY())&amp;"/"&amp;INDEX(Bills1[Date &lt;d&gt;], ROWS(B$1:$B48)), IFERROR(MONTH(TODAY())&amp;"/"&amp;INDEX(DAY(Bills2[Date &lt;d&gt;]), (ROWS(B$1:$B48)-ROWS(Bills1[Date &lt;d&gt;]))), "")), "")</f>
        <v/>
      </c>
      <c r="B49" s="130" t="str">
        <f>IF(IFERROR(INDEX(Bills1[Amount],ROWS($B$1:$B48)),IFERROR(INDEX(Bills2[Amount],(ROWS($B$1:$B48)-ROWS(Bills1[Amount]))),))&gt;0,-IFERROR(INDEX(Bills1[Amount],ROWS($B$1:$B48)),IFERROR(INDEX(Bills2[Amount],(ROWS($B$1:$B48)-ROWS(Bills1[Amount]))),)), "")</f>
        <v/>
      </c>
      <c r="D49" s="129" t="str">
        <f ca="1">IF(ISNUMBER(bills_curr_plus1[[#This Row],[bills]]), IF(OR(MONTH($A$2)=12, YEAR($A$2)=YEAR(TODAY())+1), IFERROR(MONTH($A$2+32)&amp;"/"&amp;INDEX(Bills1[Date &lt;d&gt;], ROWS($B$1:$B48))&amp;"/"&amp;$C$51, IFERROR(MONTH($A$2+32)&amp;"/"&amp;INDEX(DAY(Bills2[Date &lt;d&gt;]), (ROWS($B$1:$B48)-ROWS(Bills1[Date &lt;d&gt;])))&amp;"/"&amp;$C$51, "")), IFERROR(MONTH($A$2+32)&amp;"/"&amp;INDEX(Bills1[Date &lt;d&gt;], ROWS($B$1:$B48)), IFERROR(MONTH($A$2+32)&amp;"/"&amp;INDEX(DAY(Bills2[Date &lt;d&gt;]), (ROWS($B$1:$B48)-ROWS(Bills1[Date &lt;d&gt;]))), ""))), "")</f>
        <v/>
      </c>
      <c r="E49" s="130" t="str">
        <f>IF(IFERROR(INDEX(Bills1[Amount],ROWS($B$1:$B48)),IFERROR(INDEX(Bills2[Amount],(ROWS($B$1:$B48)-ROWS(Bills1[Amount]))),))&gt;0,-IFERROR(INDEX(Bills1[Amount],ROWS($B$1:$B48)),IFERROR(INDEX(Bills2[Amount],(ROWS($B$1:$B48)-ROWS(Bills1[Amount]))),)), "")</f>
        <v/>
      </c>
      <c r="G49" s="129" t="str">
        <f ca="1">IF(ISNUMBER(bills_curr_plus2[[#This Row],[bills]]), IF(OR(MONTH($D$2)=12, YEAR($D$2)=YEAR(TODAY())+1), IFERROR(MONTH($D$2+32)&amp;"/"&amp;INDEX(Bills1[Date &lt;d&gt;], ROWS($B$1:$B48))&amp;"/"&amp;$C$51, IFERROR(MONTH($D$2+32)&amp;"/"&amp;INDEX(DAY(Bills2[Date &lt;d&gt;]), (ROWS($B$1:$B48)-ROWS(Bills1[Date &lt;d&gt;])))&amp;"/"&amp;$C$51, "")), IFERROR(MONTH($D$2+32)&amp;"/"&amp;INDEX(Bills1[Date &lt;d&gt;], ROWS($B$1:$B48)), IFERROR(MONTH($D$2+32)&amp;"/"&amp;INDEX(DAY(Bills2[Date &lt;d&gt;]), (ROWS($B$1:$B48)-ROWS(Bills1[Date &lt;d&gt;]))), ""))), "")</f>
        <v/>
      </c>
      <c r="H49" s="130" t="str">
        <f>IF(IFERROR(INDEX(Bills1[Amount],ROWS($B$1:$B48)),IFERROR(INDEX(Bills2[Amount],(ROWS($B$1:$B48)-ROWS(Bills1[Amount]))),))&gt;0,-IFERROR(INDEX(Bills1[Amount],ROWS($B$1:$B48)),IFERROR(INDEX(Bills2[Amount],(ROWS($B$1:$B48)-ROWS(Bills1[Amount]))),)), "")</f>
        <v/>
      </c>
      <c r="J49" s="129" t="str">
        <f ca="1">IF(ISNUMBER(bills_curr_plus3[[#This Row],[bills]]), IF(OR(MONTH($G$2)=12, YEAR($G$2)=YEAR(TODAY())+1), IFERROR(MONTH($G$2+32)&amp;"/"&amp;INDEX(Bills1[Date &lt;d&gt;], ROWS($B$1:$B48))&amp;"/"&amp;$C$51, IFERROR(MONTH($G$2+32)&amp;"/"&amp;INDEX(DAY(Bills2[Date &lt;d&gt;]), (ROWS($B$1:$B48)-ROWS(Bills1[Date &lt;d&gt;])))&amp;"/"&amp;$C$51, "")), IFERROR(MONTH($G$2+32)&amp;"/"&amp;INDEX(Bills1[Date &lt;d&gt;], ROWS($B$1:$B48)), IFERROR(MONTH($G$2+32)&amp;"/"&amp;INDEX(DAY(Bills2[Date &lt;d&gt;]), (ROWS($B$1:$B48)-ROWS(Bills1[Date &lt;d&gt;]))), ""))), "")</f>
        <v/>
      </c>
      <c r="K49" s="130" t="str">
        <f>IF(IFERROR(INDEX(Bills1[Amount],ROWS($B$1:$B48)),IFERROR(INDEX(Bills2[Amount],(ROWS($B$1:$B48)-ROWS(Bills1[Amount]))),))&gt;0,-IFERROR(INDEX(Bills1[Amount],ROWS($B$1:$B48)),IFERROR(INDEX(Bills2[Amount],(ROWS($B$1:$B48)-ROWS(Bills1[Amount]))),)), "")</f>
        <v/>
      </c>
      <c r="M49" s="129" t="str">
        <f ca="1">IF(ISNUMBER(bills_curr_plus4[[#This Row],[bills]]), IF(OR(MONTH($J$2)=12, YEAR($J$2)=YEAR(TODAY())+1), IFERROR(MONTH($J$2+32)&amp;"/"&amp;INDEX(Bills1[Date &lt;d&gt;], ROWS($B$1:$B48))&amp;"/"&amp;$C$51, IFERROR(MONTH($J$2+32)&amp;"/"&amp;INDEX(DAY(Bills2[Date &lt;d&gt;]), (ROWS($B$1:$B48)-ROWS(Bills1[Date &lt;d&gt;])))&amp;"/"&amp;$C$51, "")), IFERROR(MONTH($J$2+32)&amp;"/"&amp;INDEX(Bills1[Date &lt;d&gt;], ROWS($B$1:$B48)), IFERROR(MONTH($J$2+32)&amp;"/"&amp;INDEX(DAY(Bills2[Date &lt;d&gt;]), (ROWS($B$1:$B48)-ROWS(Bills1[Date &lt;d&gt;]))), ""))), "")</f>
        <v/>
      </c>
      <c r="N49" s="130" t="str">
        <f>IF(IFERROR(INDEX(Bills1[Amount],ROWS($B$1:$B48)),IFERROR(INDEX(Bills2[Amount],(ROWS($B$1:$B48)-ROWS(Bills1[Amount]))),))&gt;0,-IFERROR(INDEX(Bills1[Amount],ROWS($B$1:$B48)),IFERROR(INDEX(Bills2[Amount],(ROWS($B$1:$B48)-ROWS(Bills1[Amount]))),)), "")</f>
        <v/>
      </c>
      <c r="P49" s="129" t="str">
        <f ca="1">IF(ISNUMBER(bills_curr_plus5[[#This Row],[bills]]), IF(OR(MONTH($M$2)=12, YEAR($M$2)=YEAR(TODAY())+1), IFERROR(MONTH($M$2+32)&amp;"/"&amp;INDEX(Bills1[Date &lt;d&gt;], ROWS($B$1:$B48))&amp;"/"&amp;$C$51, IFERROR(MONTH($M$2+32)&amp;"/"&amp;INDEX(DAY(Bills2[Date &lt;d&gt;]), (ROWS($B$1:$B48)-ROWS(Bills1[Date &lt;d&gt;])))&amp;"/"&amp;$C$51, "")), IFERROR(MONTH($M$2+32)&amp;"/"&amp;INDEX(Bills1[Date &lt;d&gt;], ROWS($B$1:$B48)), IFERROR(MONTH($M$2+32)&amp;"/"&amp;INDEX(DAY(Bills2[Date &lt;d&gt;]), (ROWS($B$1:$B48)-ROWS(Bills1[Date &lt;d&gt;]))), ""))), "")</f>
        <v/>
      </c>
      <c r="Q49" s="130" t="str">
        <f>IF(IFERROR(INDEX(Bills1[Amount],ROWS($B$1:$B48)),IFERROR(INDEX(Bills2[Amount],(ROWS($B$1:$B48)-ROWS(Bills1[Amount]))),))&gt;0,-IFERROR(INDEX(Bills1[Amount],ROWS($B$1:$B48)),IFERROR(INDEX(Bills2[Amount],(ROWS($B$1:$B48)-ROWS(Bills1[Amount]))),)), "")</f>
        <v/>
      </c>
      <c r="R49" s="130"/>
      <c r="S49" s="129" t="str">
        <f ca="1">IF(ISNUMBER(bills_curr_plus6[[#This Row],[bills]]),
IF(OR(MONTH($P$2)=12, YEAR($P$2)=YEAR(TODAY())+1),
IFERROR(MONTH($P$2+32)&amp;"/"&amp;INDEX(Bills1[Date &lt;d&gt;], ROWS($B$1:$B48))&amp;"/"&amp;$C$51,
IFERROR(MONTH($P$2+32)&amp;"/"&amp;INDEX(DAY(Bills2[Date &lt;d&gt;]), (ROWS($B$1:$B48)-ROWS(Bills1[Date &lt;d&gt;])))&amp;"/"&amp;$C$51, "")),
IFERROR(MONTH($P$2+32)&amp;"/"&amp;INDEX(Bills1[Date &lt;d&gt;], ROWS($B$1:$B48)),
IFERROR(MONTH($P$2+32)&amp;"/"&amp;INDEX(DAY(Bills2[Date &lt;d&gt;]), (ROWS($B$1:$B48)-ROWS(Bills1[Date &lt;d&gt;]))), ""))), "")</f>
        <v/>
      </c>
      <c r="T49" s="130" t="str">
        <f>IF(IFERROR(INDEX(Bills1[Amount],ROWS($B$1:$B48)),
IFERROR(INDEX(Bills2[Amount],(ROWS($B$1:$B48)-ROWS(Bills1[Amount]))),))&gt;0,
-IFERROR(INDEX(Bills1[Amount],ROWS($B$1:$B48)),
IFERROR(INDEX(Bills2[Amount],(ROWS($B$1:$B48)-ROWS(Bills1[Amount]))),)), "")</f>
        <v/>
      </c>
      <c r="V49" s="129">
        <v>43817</v>
      </c>
      <c r="W49" s="1">
        <f>DAY(income_future[[#This Row],[dates]])</f>
        <v>18</v>
      </c>
      <c r="X49" s="130">
        <f ca="1">SUMIF(income_curr[mod( )], MOD(V49, 14), income_curr[income])</f>
        <v>0</v>
      </c>
      <c r="Z49" s="132" t="str">
        <f ca="1">IF(TEXT(Table10[[#This Row],[dates]], "ddd")="Mon", 999999999, "")</f>
        <v/>
      </c>
      <c r="AA49" s="132" t="str">
        <f ca="1">IF(TODAY()=Table10[[#This Row],[dates]], TEXT(DATE(2019, MONTH(Table10[[#This Row],[dates]]), 1), "mmm"), IFERROR(IF(MONTH(Table10[[#This Row],[dates]])&lt;&gt;MONTH(AC48), TEXT(DATE(2019, MONTH(Table10[[#This Row],[dates]]), 1), "mmm"), ""), ""))</f>
        <v/>
      </c>
      <c r="AB49" s="133">
        <f ca="1">DAY('Data Preparation'!$AC49)</f>
        <v>27</v>
      </c>
      <c r="AC49" s="143">
        <f t="shared" ca="1" si="1"/>
        <v>43826</v>
      </c>
      <c r="AD49"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49" s="136">
        <f ca="1">IFERROR(
IF(MONTH(Table10[[#This Row],[dates]])&lt;&gt;MONTH($AC48), Table10[[#This Row],[delta $]]+AE48-SUM(Bills3[Amount]), N("deducts other bills at the end of each month")+
IF(Table10[[#This Row],[delta $]]&lt;&gt;0, Table10[[#This Row],[delta $]]+AE48,
AE48)),
"")</f>
        <v>3356</v>
      </c>
      <c r="AF49" s="136">
        <f ca="1">Table10[[#This Row],[sum per date]]-IF(MONTH(Table10[[#This Row],[dates]])=MONTH(TODAY()),
SUMIF(Bills3[Paid?], "&lt;&gt;Y", Bills3[Amount]), SUM(Bills3[Amount]))</f>
        <v>2736</v>
      </c>
      <c r="AG49" s="136" t="e">
        <f ca="1">IF(AND(
Table10[[#This Row],[fluctuation]]=MIN(INDEX(Table10[fluctuation], MATCH(TODAY(),Table10[dates], 0)):INDEX(Table10[fluctuation], MATCH(end_date,Table10[dates], 0))),
OR(ISNA(INDEX($AF$2:AF48, MATCH(Table10[[#This Row],[fluctuation]], $AF$2:AF48, 0))), ROW(AG49)=2)),
Table10[[#This Row],[fluctuation]],
NA())</f>
        <v>#N/A</v>
      </c>
    </row>
    <row r="50" spans="1:33" x14ac:dyDescent="0.25">
      <c r="A50" s="129" t="str">
        <f ca="1">IF(ISNUMBER(bills_curr_mo[[#This Row],[bills]]), IFERROR(MONTH(TODAY())&amp;"/"&amp;INDEX(Bills1[Date &lt;d&gt;], ROWS(B$1:$B51)), IFERROR(MONTH(TODAY())&amp;"/"&amp;INDEX(DAY(Bills2[Date &lt;d&gt;]), (ROWS(B$1:$B51)-ROWS(Bills1[Date &lt;d&gt;]))), "")), "")</f>
        <v/>
      </c>
      <c r="B50" s="130" t="str">
        <f>IF(IFERROR(INDEX(Bills1[Amount],ROWS($B$1:$B51)),IFERROR(INDEX(Bills2[Amount],(ROWS($B$1:$B51)-ROWS(Bills1[Amount]))),))&gt;0,-IFERROR(INDEX(Bills1[Amount],ROWS($B$1:$B51)),IFERROR(INDEX(Bills2[Amount],(ROWS($B$1:$B51)-ROWS(Bills1[Amount]))),)), "")</f>
        <v/>
      </c>
      <c r="D50" s="129" t="str">
        <f ca="1">IF(ISNUMBER(bills_curr_plus1[[#This Row],[bills]]), IF(OR(MONTH($A$2)=12, YEAR($A$2)=YEAR(TODAY())+1), IFERROR(MONTH($A$2+32)&amp;"/"&amp;INDEX(Bills1[Date &lt;d&gt;], ROWS($B$1:$B51))&amp;"/"&amp;$C$51, IFERROR(MONTH($A$2+32)&amp;"/"&amp;INDEX(DAY(Bills2[Date &lt;d&gt;]), (ROWS($B$1:$B51)-ROWS(Bills1[Date &lt;d&gt;])))&amp;"/"&amp;$C$51, "")), IFERROR(MONTH($A$2+32)&amp;"/"&amp;INDEX(Bills1[Date &lt;d&gt;], ROWS($B$1:$B51)), IFERROR(MONTH($A$2+32)&amp;"/"&amp;INDEX(DAY(Bills2[Date &lt;d&gt;]), (ROWS($B$1:$B51)-ROWS(Bills1[Date &lt;d&gt;]))), ""))), "")</f>
        <v/>
      </c>
      <c r="E50" s="130" t="str">
        <f>IF(IFERROR(INDEX(Bills1[Amount],ROWS($B$1:$B51)),IFERROR(INDEX(Bills2[Amount],(ROWS($B$1:$B51)-ROWS(Bills1[Amount]))),))&gt;0,-IFERROR(INDEX(Bills1[Amount],ROWS($B$1:$B51)),IFERROR(INDEX(Bills2[Amount],(ROWS($B$1:$B51)-ROWS(Bills1[Amount]))),)), "")</f>
        <v/>
      </c>
      <c r="G50" s="129" t="str">
        <f ca="1">IF(ISNUMBER(bills_curr_plus2[[#This Row],[bills]]), IF(OR(MONTH($D$2)=12, YEAR($D$2)=YEAR(TODAY())+1), IFERROR(MONTH($D$2+32)&amp;"/"&amp;INDEX(Bills1[Date &lt;d&gt;], ROWS($B$1:$B51))&amp;"/"&amp;$C$51, IFERROR(MONTH($D$2+32)&amp;"/"&amp;INDEX(DAY(Bills2[Date &lt;d&gt;]), (ROWS($B$1:$B51)-ROWS(Bills1[Date &lt;d&gt;])))&amp;"/"&amp;$C$51, "")), IFERROR(MONTH($D$2+32)&amp;"/"&amp;INDEX(Bills1[Date &lt;d&gt;], ROWS($B$1:$B51)), IFERROR(MONTH($D$2+32)&amp;"/"&amp;INDEX(DAY(Bills2[Date &lt;d&gt;]), (ROWS($B$1:$B51)-ROWS(Bills1[Date &lt;d&gt;]))), ""))), "")</f>
        <v/>
      </c>
      <c r="H50" s="146" t="str">
        <f>IF(IFERROR(INDEX(Bills1[Amount],ROWS($B$1:$B51)),IFERROR(INDEX(Bills2[Amount],(ROWS($B$1:$B51)-ROWS(Bills1[Amount]))),))&gt;0,-IFERROR(INDEX(Bills1[Amount],ROWS($B$1:$B51)),IFERROR(INDEX(Bills2[Amount],(ROWS($B$1:$B51)-ROWS(Bills1[Amount]))),)), "")</f>
        <v/>
      </c>
      <c r="J50" s="129" t="str">
        <f ca="1">IF(ISNUMBER(bills_curr_plus3[[#This Row],[bills]]), IF(OR(MONTH($G$2)=12, YEAR($G$2)=YEAR(TODAY())+1), IFERROR(MONTH($G$2+32)&amp;"/"&amp;INDEX(Bills1[Date &lt;d&gt;], ROWS($B$1:$B51))&amp;"/"&amp;$C$51, IFERROR(MONTH($G$2+32)&amp;"/"&amp;INDEX(DAY(Bills2[Date &lt;d&gt;]), (ROWS($B$1:$B51)-ROWS(Bills1[Date &lt;d&gt;])))&amp;"/"&amp;$C$51, "")), IFERROR(MONTH($G$2+32)&amp;"/"&amp;INDEX(Bills1[Date &lt;d&gt;], ROWS($B$1:$B51)), IFERROR(MONTH($G$2+32)&amp;"/"&amp;INDEX(DAY(Bills2[Date &lt;d&gt;]), (ROWS($B$1:$B51)-ROWS(Bills1[Date &lt;d&gt;]))), ""))), "")</f>
        <v/>
      </c>
      <c r="K50" s="146" t="str">
        <f>IF(IFERROR(INDEX(Bills1[Amount],ROWS($B$1:$B51)),IFERROR(INDEX(Bills2[Amount],(ROWS($B$1:$B51)-ROWS(Bills1[Amount]))),))&gt;0,-IFERROR(INDEX(Bills1[Amount],ROWS($B$1:$B51)),IFERROR(INDEX(Bills2[Amount],(ROWS($B$1:$B51)-ROWS(Bills1[Amount]))),)), "")</f>
        <v/>
      </c>
      <c r="M50" s="129" t="str">
        <f ca="1">IF(ISNUMBER(bills_curr_plus4[[#This Row],[bills]]), IF(OR(MONTH($J$2)=12, YEAR($J$2)=YEAR(TODAY())+1), IFERROR(MONTH($J$2+32)&amp;"/"&amp;INDEX(Bills1[Date &lt;d&gt;], ROWS($B$1:$B51))&amp;"/"&amp;$C$51, IFERROR(MONTH($J$2+32)&amp;"/"&amp;INDEX(DAY(Bills2[Date &lt;d&gt;]), (ROWS($B$1:$B51)-ROWS(Bills1[Date &lt;d&gt;])))&amp;"/"&amp;$C$51, "")), IFERROR(MONTH($J$2+32)&amp;"/"&amp;INDEX(Bills1[Date &lt;d&gt;], ROWS($B$1:$B51)), IFERROR(MONTH($J$2+32)&amp;"/"&amp;INDEX(DAY(Bills2[Date &lt;d&gt;]), (ROWS($B$1:$B51)-ROWS(Bills1[Date &lt;d&gt;]))), ""))), "")</f>
        <v/>
      </c>
      <c r="N50" s="130" t="str">
        <f>IF(IFERROR(INDEX(Bills1[Amount],ROWS($B$1:$B51)),IFERROR(INDEX(Bills2[Amount],(ROWS($B$1:$B51)-ROWS(Bills1[Amount]))),))&gt;0,-IFERROR(INDEX(Bills1[Amount],ROWS($B$1:$B51)),IFERROR(INDEX(Bills2[Amount],(ROWS($B$1:$B51)-ROWS(Bills1[Amount]))),)), "")</f>
        <v/>
      </c>
      <c r="P50" s="129" t="str">
        <f ca="1">IF(ISNUMBER(bills_curr_plus5[[#This Row],[bills]]), IF(OR(MONTH($M$2)=12, YEAR($M$2)=YEAR(TODAY())+1), IFERROR(MONTH($M$2+32)&amp;"/"&amp;INDEX(Bills1[Date &lt;d&gt;], ROWS($B$1:$B51))&amp;"/"&amp;$C$51, IFERROR(MONTH($M$2+32)&amp;"/"&amp;INDEX(DAY(Bills2[Date &lt;d&gt;]), (ROWS($B$1:$B51)-ROWS(Bills1[Date &lt;d&gt;])))&amp;"/"&amp;$C$51, "")), IFERROR(MONTH($M$2+32)&amp;"/"&amp;INDEX(Bills1[Date &lt;d&gt;], ROWS($B$1:$B51)), IFERROR(MONTH($M$2+32)&amp;"/"&amp;INDEX(DAY(Bills2[Date &lt;d&gt;]), (ROWS($B$1:$B51)-ROWS(Bills1[Date &lt;d&gt;]))), ""))), "")</f>
        <v/>
      </c>
      <c r="Q50" s="130" t="str">
        <f>IF(IFERROR(INDEX(Bills1[Amount],ROWS($B$1:$B51)),IFERROR(INDEX(Bills2[Amount],(ROWS($B$1:$B51)-ROWS(Bills1[Amount]))),))&gt;0,-IFERROR(INDEX(Bills1[Amount],ROWS($B$1:$B51)),IFERROR(INDEX(Bills2[Amount],(ROWS($B$1:$B51)-ROWS(Bills1[Amount]))),)), "")</f>
        <v/>
      </c>
      <c r="R50" s="130"/>
      <c r="S50" s="129" t="str">
        <f ca="1">IF(ISNUMBER(bills_curr_plus6[[#This Row],[bills]]),
IF(OR(MONTH($P$2)=12, YEAR($P$2)=YEAR(TODAY())+1),
IFERROR(MONTH($P$2+32)&amp;"/"&amp;INDEX(Bills1[Date &lt;d&gt;], ROWS($B$1:$B51))&amp;"/"&amp;$C$51,
IFERROR(MONTH($P$2+32)&amp;"/"&amp;INDEX(DAY(Bills2[Date &lt;d&gt;]), (ROWS($B$1:$B51)-ROWS(Bills1[Date &lt;d&gt;])))&amp;"/"&amp;$C$51, "")),
IFERROR(MONTH($P$2+32)&amp;"/"&amp;INDEX(Bills1[Date &lt;d&gt;], ROWS($B$1:$B51)),
IFERROR(MONTH($P$2+32)&amp;"/"&amp;INDEX(DAY(Bills2[Date &lt;d&gt;]), (ROWS($B$1:$B51)-ROWS(Bills1[Date &lt;d&gt;]))), ""))), "")</f>
        <v/>
      </c>
      <c r="T50" s="130" t="str">
        <f>IF(IFERROR(INDEX(Bills1[Amount],ROWS($B$1:$B51)),
IFERROR(INDEX(Bills2[Amount],(ROWS($B$1:$B51)-ROWS(Bills1[Amount]))),))&gt;0,
-IFERROR(INDEX(Bills1[Amount],ROWS($B$1:$B51)),
IFERROR(INDEX(Bills2[Amount],(ROWS($B$1:$B51)-ROWS(Bills1[Amount]))),)), "")</f>
        <v/>
      </c>
      <c r="V50" s="129">
        <v>43818</v>
      </c>
      <c r="W50" s="1">
        <f>DAY(income_future[[#This Row],[dates]])</f>
        <v>19</v>
      </c>
      <c r="X50" s="130">
        <f ca="1">SUMIF(income_curr[mod( )], MOD(V50, 14), income_curr[income])</f>
        <v>0</v>
      </c>
      <c r="Z50" s="132" t="str">
        <f ca="1">IF(TEXT(Table10[[#This Row],[dates]], "ddd")="Mon", 999999999, "")</f>
        <v/>
      </c>
      <c r="AA50" s="132" t="str">
        <f ca="1">IF(TODAY()=Table10[[#This Row],[dates]], TEXT(DATE(2019, MONTH(Table10[[#This Row],[dates]]), 1), "mmm"), IFERROR(IF(MONTH(Table10[[#This Row],[dates]])&lt;&gt;MONTH(AC49), TEXT(DATE(2019, MONTH(Table10[[#This Row],[dates]]), 1), "mmm"), ""), ""))</f>
        <v/>
      </c>
      <c r="AB50" s="133">
        <f ca="1">DAY('Data Preparation'!$AC50)</f>
        <v>28</v>
      </c>
      <c r="AC50" s="143">
        <f t="shared" ca="1" si="1"/>
        <v>43827</v>
      </c>
      <c r="AD50"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50" s="136">
        <f ca="1">IFERROR(
IF(MONTH(Table10[[#This Row],[dates]])&lt;&gt;MONTH($AC49), Table10[[#This Row],[delta $]]+AE49-SUM(Bills3[Amount]), N("deducts other bills at the end of each month")+
IF(Table10[[#This Row],[delta $]]&lt;&gt;0, Table10[[#This Row],[delta $]]+AE49,
AE49)),
"")</f>
        <v>4356</v>
      </c>
      <c r="AF50" s="136">
        <f ca="1">Table10[[#This Row],[sum per date]]-IF(MONTH(Table10[[#This Row],[dates]])=MONTH(TODAY()),
SUMIF(Bills3[Paid?], "&lt;&gt;Y", Bills3[Amount]), SUM(Bills3[Amount]))</f>
        <v>3736</v>
      </c>
      <c r="AG50" s="136" t="e">
        <f ca="1">IF(AND(
Table10[[#This Row],[fluctuation]]=MIN(INDEX(Table10[fluctuation], MATCH(TODAY(),Table10[dates], 0)):INDEX(Table10[fluctuation], MATCH(end_date,Table10[dates], 0))),
OR(ISNA(INDEX($AF$2:AF49, MATCH(Table10[[#This Row],[fluctuation]], $AF$2:AF49, 0))), ROW(AG50)=2)),
Table10[[#This Row],[fluctuation]],
NA())</f>
        <v>#N/A</v>
      </c>
    </row>
    <row r="51" spans="1:33" x14ac:dyDescent="0.25">
      <c r="A51" s="129" t="str">
        <f ca="1">IF(ISNUMBER(bills_curr_mo[[#This Row],[bills]]), IFERROR(MONTH(TODAY())&amp;"/"&amp;INDEX(Bills1[Date &lt;d&gt;], ROWS(B$1:$B51)), IFERROR(MONTH(TODAY())&amp;"/"&amp;INDEX(DAY(Bills2[Date &lt;d&gt;]), (ROWS(B$1:$B51)-ROWS(Bills1[Date &lt;d&gt;]))), "")), "")</f>
        <v/>
      </c>
      <c r="B51" s="146" t="str">
        <f>IF(IFERROR(INDEX(Bills1[Amount],ROWS($B$1:$B51)),IFERROR(INDEX(Bills2[Amount],(ROWS($B$1:$B51)-ROWS(Bills1[Amount]))),))&gt;0,-IFERROR(INDEX(Bills1[Amount],ROWS($B$1:$B51)),IFERROR(INDEX(Bills2[Amount],(ROWS($B$1:$B51)-ROWS(Bills1[Amount]))),)), "")</f>
        <v/>
      </c>
      <c r="C51" s="131">
        <f ca="1">YEAR(TODAY())+1</f>
        <v>2020</v>
      </c>
      <c r="D51" s="129" t="str">
        <f ca="1">IF(ISNUMBER(bills_curr_plus1[[#This Row],[bills]]), IF(OR(MONTH($A$2)=12, YEAR($A$2)=YEAR(TODAY())+1), IFERROR(MONTH($A$2+32)&amp;"/"&amp;INDEX(Bills1[Date &lt;d&gt;], ROWS($B$1:$B51))&amp;"/"&amp;$C$51, IFERROR(MONTH($A$2+32)&amp;"/"&amp;INDEX(DAY(Bills2[Date &lt;d&gt;]), (ROWS($B$1:$B51)-ROWS(Bills1[Date &lt;d&gt;])))&amp;"/"&amp;$C$51, "")), IFERROR(MONTH($A$2+32)&amp;"/"&amp;INDEX(Bills1[Date &lt;d&gt;], ROWS($B$1:$B51)), IFERROR(MONTH($A$2+32)&amp;"/"&amp;INDEX(DAY(Bills2[Date &lt;d&gt;]), (ROWS($B$1:$B51)-ROWS(Bills1[Date &lt;d&gt;]))), ""))), "")</f>
        <v/>
      </c>
      <c r="E51" s="146" t="str">
        <f>IF(IFERROR(INDEX(Bills1[Amount],ROWS($B$1:$B51)),IFERROR(INDEX(Bills2[Amount],(ROWS($B$1:$B51)-ROWS(Bills1[Amount]))),))&gt;0,-IFERROR(INDEX(Bills1[Amount],ROWS($B$1:$B51)),IFERROR(INDEX(Bills2[Amount],(ROWS($B$1:$B51)-ROWS(Bills1[Amount]))),)), "")</f>
        <v/>
      </c>
      <c r="G51" s="129" t="str">
        <f ca="1">IF(ISNUMBER(bills_curr_plus2[[#This Row],[bills]]), IF(OR(MONTH($D$2)=12, YEAR($D$2)=YEAR(TODAY())+1), IFERROR(MONTH($D$2+32)&amp;"/"&amp;INDEX(Bills1[Date &lt;d&gt;], ROWS($B$1:$B51))&amp;"/"&amp;$C$51, IFERROR(MONTH($D$2+32)&amp;"/"&amp;INDEX(DAY(Bills2[Date &lt;d&gt;]), (ROWS($B$1:$B51)-ROWS(Bills1[Date &lt;d&gt;])))&amp;"/"&amp;$C$51, "")), IFERROR(MONTH($D$2+32)&amp;"/"&amp;INDEX(Bills1[Date &lt;d&gt;], ROWS($B$1:$B51)), IFERROR(MONTH($D$2+32)&amp;"/"&amp;INDEX(DAY(Bills2[Date &lt;d&gt;]), (ROWS($B$1:$B51)-ROWS(Bills1[Date &lt;d&gt;]))), ""))), "")</f>
        <v/>
      </c>
      <c r="H51" s="146" t="str">
        <f>IF(IFERROR(INDEX(Bills1[Amount],ROWS($B$1:$B51)),IFERROR(INDEX(Bills2[Amount],(ROWS($B$1:$B51)-ROWS(Bills1[Amount]))),))&gt;0,-IFERROR(INDEX(Bills1[Amount],ROWS($B$1:$B51)),IFERROR(INDEX(Bills2[Amount],(ROWS($B$1:$B51)-ROWS(Bills1[Amount]))),)), "")</f>
        <v/>
      </c>
      <c r="J51" s="129" t="str">
        <f ca="1">IF(ISNUMBER(bills_curr_plus3[[#This Row],[bills]]), IF(OR(MONTH($G$2)=12, YEAR($G$2)=YEAR(TODAY())+1), IFERROR(MONTH($G$2+32)&amp;"/"&amp;INDEX(Bills1[Date &lt;d&gt;], ROWS($B$1:$B51))&amp;"/"&amp;$C$51, IFERROR(MONTH($G$2+32)&amp;"/"&amp;INDEX(DAY(Bills2[Date &lt;d&gt;]), (ROWS($B$1:$B51)-ROWS(Bills1[Date &lt;d&gt;])))&amp;"/"&amp;$C$51, "")), IFERROR(MONTH($G$2+32)&amp;"/"&amp;INDEX(Bills1[Date &lt;d&gt;], ROWS($B$1:$B51)), IFERROR(MONTH($G$2+32)&amp;"/"&amp;INDEX(DAY(Bills2[Date &lt;d&gt;]), (ROWS($B$1:$B51)-ROWS(Bills1[Date &lt;d&gt;]))), ""))), "")</f>
        <v/>
      </c>
      <c r="K51" s="146" t="str">
        <f>IF(IFERROR(INDEX(Bills1[Amount],ROWS($B$1:$B51)),IFERROR(INDEX(Bills2[Amount],(ROWS($B$1:$B51)-ROWS(Bills1[Amount]))),))&gt;0,-IFERROR(INDEX(Bills1[Amount],ROWS($B$1:$B51)),IFERROR(INDEX(Bills2[Amount],(ROWS($B$1:$B51)-ROWS(Bills1[Amount]))),)), "")</f>
        <v/>
      </c>
      <c r="M51" s="129" t="str">
        <f ca="1">IF(ISNUMBER(bills_curr_plus4[[#This Row],[bills]]), IF(OR(MONTH($J$2)=12, YEAR($J$2)=YEAR(TODAY())+1), IFERROR(MONTH($J$2+32)&amp;"/"&amp;INDEX(Bills1[Date &lt;d&gt;], ROWS($B$1:$B51))&amp;"/"&amp;$C$51, IFERROR(MONTH($J$2+32)&amp;"/"&amp;INDEX(DAY(Bills2[Date &lt;d&gt;]), (ROWS($B$1:$B51)-ROWS(Bills1[Date &lt;d&gt;])))&amp;"/"&amp;$C$51, "")), IFERROR(MONTH($J$2+32)&amp;"/"&amp;INDEX(Bills1[Date &lt;d&gt;], ROWS($B$1:$B51)), IFERROR(MONTH($J$2+32)&amp;"/"&amp;INDEX(DAY(Bills2[Date &lt;d&gt;]), (ROWS($B$1:$B51)-ROWS(Bills1[Date &lt;d&gt;]))), ""))), "")</f>
        <v/>
      </c>
      <c r="N51" s="146" t="str">
        <f>IF(IFERROR(INDEX(Bills1[Amount],ROWS($B$1:$B51)),IFERROR(INDEX(Bills2[Amount],(ROWS($B$1:$B51)-ROWS(Bills1[Amount]))),))&gt;0,-IFERROR(INDEX(Bills1[Amount],ROWS($B$1:$B51)),IFERROR(INDEX(Bills2[Amount],(ROWS($B$1:$B51)-ROWS(Bills1[Amount]))),)), "")</f>
        <v/>
      </c>
      <c r="P51" s="129" t="str">
        <f ca="1">IF(ISNUMBER(bills_curr_plus5[[#This Row],[bills]]), IF(OR(MONTH($M$2)=12, YEAR($M$2)=YEAR(TODAY())+1), IFERROR(MONTH($M$2+32)&amp;"/"&amp;INDEX(Bills1[Date &lt;d&gt;], ROWS($B$1:$B51))&amp;"/"&amp;$C$51, IFERROR(MONTH($M$2+32)&amp;"/"&amp;INDEX(DAY(Bills2[Date &lt;d&gt;]), (ROWS($B$1:$B51)-ROWS(Bills1[Date &lt;d&gt;])))&amp;"/"&amp;$C$51, "")), IFERROR(MONTH($M$2+32)&amp;"/"&amp;INDEX(Bills1[Date &lt;d&gt;], ROWS($B$1:$B51)), IFERROR(MONTH($M$2+32)&amp;"/"&amp;INDEX(DAY(Bills2[Date &lt;d&gt;]), (ROWS($B$1:$B51)-ROWS(Bills1[Date &lt;d&gt;]))), ""))), "")</f>
        <v/>
      </c>
      <c r="Q51" s="146" t="str">
        <f>IF(IFERROR(INDEX(Bills1[Amount],ROWS($B$1:$B51)),IFERROR(INDEX(Bills2[Amount],(ROWS($B$1:$B51)-ROWS(Bills1[Amount]))),))&gt;0,-IFERROR(INDEX(Bills1[Amount],ROWS($B$1:$B51)),IFERROR(INDEX(Bills2[Amount],(ROWS($B$1:$B51)-ROWS(Bills1[Amount]))),)), "")</f>
        <v/>
      </c>
      <c r="S51" s="129" t="str">
        <f ca="1">IF(ISNUMBER(bills_curr_plus6[[#This Row],[bills]]),
IF(OR(MONTH($P$2)=12, YEAR($P$2)=YEAR(TODAY())+1),
IFERROR(MONTH($P$2+32)&amp;"/"&amp;INDEX(Bills1[Date &lt;d&gt;], ROWS($B$1:$B51))&amp;"/"&amp;$C$51,
IFERROR(MONTH($P$2+32)&amp;"/"&amp;INDEX(DAY(Bills2[Date &lt;d&gt;]), (ROWS($B$1:$B51)-ROWS(Bills1[Date &lt;d&gt;])))&amp;"/"&amp;$C$51, "")),
IFERROR(MONTH($P$2+32)&amp;"/"&amp;INDEX(Bills1[Date &lt;d&gt;], ROWS($B$1:$B51)),
IFERROR(MONTH($P$2+32)&amp;"/"&amp;INDEX(DAY(Bills2[Date &lt;d&gt;]), (ROWS($B$1:$B51)-ROWS(Bills1[Date &lt;d&gt;]))), ""))), "")</f>
        <v/>
      </c>
      <c r="T51" s="146" t="str">
        <f>IF(IFERROR(INDEX(Bills1[Amount],ROWS($B$1:$B51)),
IFERROR(INDEX(Bills2[Amount],(ROWS($B$1:$B51)-ROWS(Bills1[Amount]))),))&gt;0,
-IFERROR(INDEX(Bills1[Amount],ROWS($B$1:$B51)),
IFERROR(INDEX(Bills2[Amount],(ROWS($B$1:$B51)-ROWS(Bills1[Amount]))),)), "")</f>
        <v/>
      </c>
      <c r="V51" s="129">
        <v>43819</v>
      </c>
      <c r="W51" s="1">
        <f>DAY(income_future[[#This Row],[dates]])</f>
        <v>20</v>
      </c>
      <c r="X51" s="130">
        <f ca="1">SUMIF(income_curr[mod( )], MOD(V51, 14), income_curr[income])</f>
        <v>0</v>
      </c>
      <c r="Z51" s="132" t="str">
        <f ca="1">IF(TEXT(Table10[[#This Row],[dates]], "ddd")="Mon", 999999999, "")</f>
        <v/>
      </c>
      <c r="AA51" s="132" t="str">
        <f ca="1">IF(TODAY()=Table10[[#This Row],[dates]], TEXT(DATE(2019, MONTH(Table10[[#This Row],[dates]]), 1), "mmm"), IFERROR(IF(MONTH(Table10[[#This Row],[dates]])&lt;&gt;MONTH(AC50), TEXT(DATE(2019, MONTH(Table10[[#This Row],[dates]]), 1), "mmm"), ""), ""))</f>
        <v/>
      </c>
      <c r="AB51" s="133">
        <f ca="1">DAY('Data Preparation'!$AC51)</f>
        <v>29</v>
      </c>
      <c r="AC51" s="143">
        <f t="shared" ca="1" si="1"/>
        <v>43828</v>
      </c>
      <c r="AD51"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1" s="136">
        <f ca="1">IFERROR(
IF(MONTH(Table10[[#This Row],[dates]])&lt;&gt;MONTH($AC50), Table10[[#This Row],[delta $]]+AE50-SUM(Bills3[Amount]), N("deducts other bills at the end of each month")+
IF(Table10[[#This Row],[delta $]]&lt;&gt;0, Table10[[#This Row],[delta $]]+AE50,
AE50)),
"")</f>
        <v>4356</v>
      </c>
      <c r="AF51" s="136">
        <f ca="1">Table10[[#This Row],[sum per date]]-IF(MONTH(Table10[[#This Row],[dates]])=MONTH(TODAY()),
SUMIF(Bills3[Paid?], "&lt;&gt;Y", Bills3[Amount]), SUM(Bills3[Amount]))</f>
        <v>3736</v>
      </c>
      <c r="AG51" s="136" t="e">
        <f ca="1">IF(AND(
Table10[[#This Row],[fluctuation]]=MIN(INDEX(Table10[fluctuation], MATCH(TODAY(),Table10[dates], 0)):INDEX(Table10[fluctuation], MATCH(end_date,Table10[dates], 0))),
OR(ISNA(INDEX($AF$2:AF50, MATCH(Table10[[#This Row],[fluctuation]], $AF$2:AF50, 0))), ROW(AG51)=2)),
Table10[[#This Row],[fluctuation]],
NA())</f>
        <v>#N/A</v>
      </c>
    </row>
    <row r="52" spans="1:33" x14ac:dyDescent="0.25">
      <c r="V52" s="129">
        <v>43820</v>
      </c>
      <c r="W52" s="1">
        <f>DAY(income_future[[#This Row],[dates]])</f>
        <v>21</v>
      </c>
      <c r="X52" s="130">
        <f ca="1">SUMIF(income_curr[mod( )], MOD(V52, 14), income_curr[income])</f>
        <v>0</v>
      </c>
      <c r="Z52" s="132">
        <f ca="1">IF(TEXT(Table10[[#This Row],[dates]], "ddd")="Mon", 999999999, "")</f>
        <v>999999999</v>
      </c>
      <c r="AA52" s="132" t="str">
        <f ca="1">IF(TODAY()=Table10[[#This Row],[dates]], TEXT(DATE(2019, MONTH(Table10[[#This Row],[dates]]), 1), "mmm"), IFERROR(IF(MONTH(Table10[[#This Row],[dates]])&lt;&gt;MONTH(AC51), TEXT(DATE(2019, MONTH(Table10[[#This Row],[dates]]), 1), "mmm"), ""), ""))</f>
        <v/>
      </c>
      <c r="AB52" s="133">
        <f ca="1">DAY('Data Preparation'!$AC52)</f>
        <v>30</v>
      </c>
      <c r="AC52" s="143">
        <f t="shared" ca="1" si="1"/>
        <v>43829</v>
      </c>
      <c r="AD52"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2" s="136">
        <f ca="1">IFERROR(
IF(MONTH(Table10[[#This Row],[dates]])&lt;&gt;MONTH($AC51), Table10[[#This Row],[delta $]]+AE51-SUM(Bills3[Amount]), N("deducts other bills at the end of each month")+
IF(Table10[[#This Row],[delta $]]&lt;&gt;0, Table10[[#This Row],[delta $]]+AE51,
AE51)),
"")</f>
        <v>4356</v>
      </c>
      <c r="AF52" s="136">
        <f ca="1">Table10[[#This Row],[sum per date]]-IF(MONTH(Table10[[#This Row],[dates]])=MONTH(TODAY()),
SUMIF(Bills3[Paid?], "&lt;&gt;Y", Bills3[Amount]), SUM(Bills3[Amount]))</f>
        <v>3736</v>
      </c>
      <c r="AG52" s="136" t="e">
        <f ca="1">IF(AND(
Table10[[#This Row],[fluctuation]]=MIN(INDEX(Table10[fluctuation], MATCH(TODAY(),Table10[dates], 0)):INDEX(Table10[fluctuation], MATCH(end_date,Table10[dates], 0))),
OR(ISNA(INDEX($AF$2:AF51, MATCH(Table10[[#This Row],[fluctuation]], $AF$2:AF51, 0))), ROW(AG52)=2)),
Table10[[#This Row],[fluctuation]],
NA())</f>
        <v>#N/A</v>
      </c>
    </row>
    <row r="53" spans="1:33" x14ac:dyDescent="0.25">
      <c r="D53" s="36"/>
      <c r="G53" s="137"/>
      <c r="H53" s="147"/>
      <c r="V53" s="129">
        <v>43821</v>
      </c>
      <c r="W53" s="1">
        <f>DAY(income_future[[#This Row],[dates]])</f>
        <v>22</v>
      </c>
      <c r="X53" s="130">
        <f ca="1">SUMIF(income_curr[mod( )], MOD(V53, 14), income_curr[income])</f>
        <v>0</v>
      </c>
      <c r="Z53" s="132" t="str">
        <f ca="1">IF(TEXT(Table10[[#This Row],[dates]], "ddd")="Mon", 999999999, "")</f>
        <v/>
      </c>
      <c r="AA53" s="132" t="str">
        <f ca="1">IF(TODAY()=Table10[[#This Row],[dates]], TEXT(DATE(2019, MONTH(Table10[[#This Row],[dates]]), 1), "mmm"), IFERROR(IF(MONTH(Table10[[#This Row],[dates]])&lt;&gt;MONTH(AC52), TEXT(DATE(2019, MONTH(Table10[[#This Row],[dates]]), 1), "mmm"), ""), ""))</f>
        <v/>
      </c>
      <c r="AB53" s="133">
        <f ca="1">DAY('Data Preparation'!$AC53)</f>
        <v>31</v>
      </c>
      <c r="AC53" s="143">
        <f t="shared" ca="1" si="1"/>
        <v>43830</v>
      </c>
      <c r="AD53"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3" s="136">
        <f ca="1">IFERROR(
IF(MONTH(Table10[[#This Row],[dates]])&lt;&gt;MONTH($AC52), Table10[[#This Row],[delta $]]+AE52-SUM(Bills3[Amount]), N("deducts other bills at the end of each month")+
IF(Table10[[#This Row],[delta $]]&lt;&gt;0, Table10[[#This Row],[delta $]]+AE52,
AE52)),
"")</f>
        <v>4356</v>
      </c>
      <c r="AF53" s="136">
        <f ca="1">Table10[[#This Row],[sum per date]]-IF(MONTH(Table10[[#This Row],[dates]])=MONTH(TODAY()),
SUMIF(Bills3[Paid?], "&lt;&gt;Y", Bills3[Amount]), SUM(Bills3[Amount]))</f>
        <v>3736</v>
      </c>
      <c r="AG53" s="136" t="e">
        <f ca="1">IF(AND(
Table10[[#This Row],[fluctuation]]=MIN(INDEX(Table10[fluctuation], MATCH(TODAY(),Table10[dates], 0)):INDEX(Table10[fluctuation], MATCH(end_date,Table10[dates], 0))),
OR(ISNA(INDEX($AF$2:AF52, MATCH(Table10[[#This Row],[fluctuation]], $AF$2:AF52, 0))), ROW(AG53)=2)),
Table10[[#This Row],[fluctuation]],
NA())</f>
        <v>#N/A</v>
      </c>
    </row>
    <row r="54" spans="1:33" x14ac:dyDescent="0.25">
      <c r="D54" s="36"/>
      <c r="V54" s="129">
        <v>43822</v>
      </c>
      <c r="W54" s="1">
        <f>DAY(income_future[[#This Row],[dates]])</f>
        <v>23</v>
      </c>
      <c r="X54" s="130">
        <f ca="1">SUMIF(income_curr[mod( )], MOD(V54, 14), income_curr[income])</f>
        <v>0</v>
      </c>
      <c r="Z54" s="132" t="str">
        <f ca="1">IF(TEXT(Table10[[#This Row],[dates]], "ddd")="Mon", 999999999, "")</f>
        <v/>
      </c>
      <c r="AA54" s="132" t="str">
        <f ca="1">IF(TODAY()=Table10[[#This Row],[dates]], TEXT(DATE(2019, MONTH(Table10[[#This Row],[dates]]), 1), "mmm"), IFERROR(IF(MONTH(Table10[[#This Row],[dates]])&lt;&gt;MONTH(AC53), TEXT(DATE(2019, MONTH(Table10[[#This Row],[dates]]), 1), "mmm"), ""), ""))</f>
        <v>Jan</v>
      </c>
      <c r="AB54" s="133">
        <f ca="1">DAY('Data Preparation'!$AC54)</f>
        <v>1</v>
      </c>
      <c r="AC54" s="143">
        <f t="shared" ca="1" si="1"/>
        <v>43831</v>
      </c>
      <c r="AD54"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54" s="136">
        <f ca="1">IFERROR(
IF(MONTH(Table10[[#This Row],[dates]])&lt;&gt;MONTH($AC53), Table10[[#This Row],[delta $]]+AE53-SUM(Bills3[Amount]), N("deducts other bills at the end of each month")+
IF(Table10[[#This Row],[delta $]]&lt;&gt;0, Table10[[#This Row],[delta $]]+AE53,
AE53)),
"")</f>
        <v>3136</v>
      </c>
      <c r="AF54" s="136">
        <f ca="1">Table10[[#This Row],[sum per date]]-IF(MONTH(Table10[[#This Row],[dates]])=MONTH(TODAY()),
SUMIF(Bills3[Paid?], "&lt;&gt;Y", Bills3[Amount]), SUM(Bills3[Amount]))</f>
        <v>2516</v>
      </c>
      <c r="AG54" s="136" t="e">
        <f ca="1">IF(AND(
Table10[[#This Row],[fluctuation]]=MIN(INDEX(Table10[fluctuation], MATCH(TODAY(),Table10[dates], 0)):INDEX(Table10[fluctuation], MATCH(end_date,Table10[dates], 0))),
OR(ISNA(INDEX($AF$2:AF53, MATCH(Table10[[#This Row],[fluctuation]], $AF$2:AF53, 0))), ROW(AG54)=2)),
Table10[[#This Row],[fluctuation]],
NA())</f>
        <v>#N/A</v>
      </c>
    </row>
    <row r="55" spans="1:33" x14ac:dyDescent="0.25">
      <c r="D55" s="36"/>
      <c r="V55" s="129">
        <v>43823</v>
      </c>
      <c r="W55" s="1">
        <f>DAY(income_future[[#This Row],[dates]])</f>
        <v>24</v>
      </c>
      <c r="X55" s="130">
        <f ca="1">SUMIF(income_curr[mod( )], MOD(V55, 14), income_curr[income])</f>
        <v>0</v>
      </c>
      <c r="Z55" s="132" t="str">
        <f ca="1">IF(TEXT(Table10[[#This Row],[dates]], "ddd")="Mon", 999999999, "")</f>
        <v/>
      </c>
      <c r="AA55" s="132" t="str">
        <f ca="1">IF(TODAY()=Table10[[#This Row],[dates]], TEXT(DATE(2019, MONTH(Table10[[#This Row],[dates]]), 1), "mmm"), IFERROR(IF(MONTH(Table10[[#This Row],[dates]])&lt;&gt;MONTH(AC54), TEXT(DATE(2019, MONTH(Table10[[#This Row],[dates]]), 1), "mmm"), ""), ""))</f>
        <v/>
      </c>
      <c r="AB55" s="133">
        <f ca="1">DAY('Data Preparation'!$AC55)</f>
        <v>2</v>
      </c>
      <c r="AC55" s="143">
        <f t="shared" ca="1" si="1"/>
        <v>43832</v>
      </c>
      <c r="AD55"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5" s="136">
        <f ca="1">IFERROR(
IF(MONTH(Table10[[#This Row],[dates]])&lt;&gt;MONTH($AC54), Table10[[#This Row],[delta $]]+AE54-SUM(Bills3[Amount]), N("deducts other bills at the end of each month")+
IF(Table10[[#This Row],[delta $]]&lt;&gt;0, Table10[[#This Row],[delta $]]+AE54,
AE54)),
"")</f>
        <v>3136</v>
      </c>
      <c r="AF55" s="136">
        <f ca="1">Table10[[#This Row],[sum per date]]-IF(MONTH(Table10[[#This Row],[dates]])=MONTH(TODAY()),
SUMIF(Bills3[Paid?], "&lt;&gt;Y", Bills3[Amount]), SUM(Bills3[Amount]))</f>
        <v>2516</v>
      </c>
      <c r="AG55" s="136" t="e">
        <f ca="1">IF(AND(
Table10[[#This Row],[fluctuation]]=MIN(INDEX(Table10[fluctuation], MATCH(TODAY(),Table10[dates], 0)):INDEX(Table10[fluctuation], MATCH(end_date,Table10[dates], 0))),
OR(ISNA(INDEX($AF$2:AF54, MATCH(Table10[[#This Row],[fluctuation]], $AF$2:AF54, 0))), ROW(AG55)=2)),
Table10[[#This Row],[fluctuation]],
NA())</f>
        <v>#N/A</v>
      </c>
    </row>
    <row r="56" spans="1:33" x14ac:dyDescent="0.25">
      <c r="D56" s="36"/>
      <c r="V56" s="129">
        <v>43824</v>
      </c>
      <c r="W56" s="1">
        <f>DAY(income_future[[#This Row],[dates]])</f>
        <v>25</v>
      </c>
      <c r="X56" s="130">
        <f ca="1">SUMIF(income_curr[mod( )], MOD(V56, 14), income_curr[income])</f>
        <v>0</v>
      </c>
      <c r="Z56" s="132" t="str">
        <f ca="1">IF(TEXT(Table10[[#This Row],[dates]], "ddd")="Mon", 999999999, "")</f>
        <v/>
      </c>
      <c r="AA56" s="132" t="str">
        <f ca="1">IF(TODAY()=Table10[[#This Row],[dates]], TEXT(DATE(2019, MONTH(Table10[[#This Row],[dates]]), 1), "mmm"), IFERROR(IF(MONTH(Table10[[#This Row],[dates]])&lt;&gt;MONTH(AC55), TEXT(DATE(2019, MONTH(Table10[[#This Row],[dates]]), 1), "mmm"), ""), ""))</f>
        <v/>
      </c>
      <c r="AB56" s="133">
        <f ca="1">DAY('Data Preparation'!$AC56)</f>
        <v>3</v>
      </c>
      <c r="AC56" s="143">
        <f t="shared" ca="1" si="1"/>
        <v>43833</v>
      </c>
      <c r="AD56"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6" s="136">
        <f ca="1">IFERROR(
IF(MONTH(Table10[[#This Row],[dates]])&lt;&gt;MONTH($AC55), Table10[[#This Row],[delta $]]+AE55-SUM(Bills3[Amount]), N("deducts other bills at the end of each month")+
IF(Table10[[#This Row],[delta $]]&lt;&gt;0, Table10[[#This Row],[delta $]]+AE55,
AE55)),
"")</f>
        <v>3136</v>
      </c>
      <c r="AF56" s="136">
        <f ca="1">Table10[[#This Row],[sum per date]]-IF(MONTH(Table10[[#This Row],[dates]])=MONTH(TODAY()),
SUMIF(Bills3[Paid?], "&lt;&gt;Y", Bills3[Amount]), SUM(Bills3[Amount]))</f>
        <v>2516</v>
      </c>
      <c r="AG56" s="136" t="e">
        <f ca="1">IF(AND(
Table10[[#This Row],[fluctuation]]=MIN(INDEX(Table10[fluctuation], MATCH(TODAY(),Table10[dates], 0)):INDEX(Table10[fluctuation], MATCH(end_date,Table10[dates], 0))),
OR(ISNA(INDEX($AF$2:AF55, MATCH(Table10[[#This Row],[fluctuation]], $AF$2:AF55, 0))), ROW(AG56)=2)),
Table10[[#This Row],[fluctuation]],
NA())</f>
        <v>#N/A</v>
      </c>
    </row>
    <row r="57" spans="1:33" x14ac:dyDescent="0.25">
      <c r="D57" s="36"/>
      <c r="V57" s="129">
        <v>43825</v>
      </c>
      <c r="W57" s="1">
        <f>DAY(income_future[[#This Row],[dates]])</f>
        <v>26</v>
      </c>
      <c r="X57" s="130">
        <f ca="1">SUMIF(income_curr[mod( )], MOD(V57, 14), income_curr[income])</f>
        <v>0</v>
      </c>
      <c r="Z57" s="132" t="str">
        <f ca="1">IF(TEXT(Table10[[#This Row],[dates]], "ddd")="Mon", 999999999, "")</f>
        <v/>
      </c>
      <c r="AA57" s="132" t="str">
        <f ca="1">IF(TODAY()=Table10[[#This Row],[dates]], TEXT(DATE(2019, MONTH(Table10[[#This Row],[dates]]), 1), "mmm"), IFERROR(IF(MONTH(Table10[[#This Row],[dates]])&lt;&gt;MONTH(AC56), TEXT(DATE(2019, MONTH(Table10[[#This Row],[dates]]), 1), "mmm"), ""), ""))</f>
        <v/>
      </c>
      <c r="AB57" s="133">
        <f ca="1">DAY('Data Preparation'!$AC57)</f>
        <v>4</v>
      </c>
      <c r="AC57" s="143">
        <f t="shared" ca="1" si="1"/>
        <v>43834</v>
      </c>
      <c r="AD57"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7" s="136">
        <f ca="1">IFERROR(
IF(MONTH(Table10[[#This Row],[dates]])&lt;&gt;MONTH($AC56), Table10[[#This Row],[delta $]]+AE56-SUM(Bills3[Amount]), N("deducts other bills at the end of each month")+
IF(Table10[[#This Row],[delta $]]&lt;&gt;0, Table10[[#This Row],[delta $]]+AE56,
AE56)),
"")</f>
        <v>3136</v>
      </c>
      <c r="AF57" s="136">
        <f ca="1">Table10[[#This Row],[sum per date]]-IF(MONTH(Table10[[#This Row],[dates]])=MONTH(TODAY()),
SUMIF(Bills3[Paid?], "&lt;&gt;Y", Bills3[Amount]), SUM(Bills3[Amount]))</f>
        <v>2516</v>
      </c>
      <c r="AG57" s="136" t="e">
        <f ca="1">IF(AND(
Table10[[#This Row],[fluctuation]]=MIN(INDEX(Table10[fluctuation], MATCH(TODAY(),Table10[dates], 0)):INDEX(Table10[fluctuation], MATCH(end_date,Table10[dates], 0))),
OR(ISNA(INDEX($AF$2:AF56, MATCH(Table10[[#This Row],[fluctuation]], $AF$2:AF56, 0))), ROW(AG57)=2)),
Table10[[#This Row],[fluctuation]],
NA())</f>
        <v>#N/A</v>
      </c>
    </row>
    <row r="58" spans="1:33" x14ac:dyDescent="0.25">
      <c r="D58" s="36"/>
      <c r="V58" s="129">
        <v>43826</v>
      </c>
      <c r="W58" s="1">
        <f>DAY(income_future[[#This Row],[dates]])</f>
        <v>27</v>
      </c>
      <c r="X58" s="130">
        <f ca="1">SUMIF(income_curr[mod( )], MOD(V58, 14), income_curr[income])</f>
        <v>0</v>
      </c>
      <c r="Z58" s="132" t="str">
        <f ca="1">IF(TEXT(Table10[[#This Row],[dates]], "ddd")="Mon", 999999999, "")</f>
        <v/>
      </c>
      <c r="AA58" s="132" t="str">
        <f ca="1">IF(TODAY()=Table10[[#This Row],[dates]], TEXT(DATE(2019, MONTH(Table10[[#This Row],[dates]]), 1), "mmm"), IFERROR(IF(MONTH(Table10[[#This Row],[dates]])&lt;&gt;MONTH(AC57), TEXT(DATE(2019, MONTH(Table10[[#This Row],[dates]]), 1), "mmm"), ""), ""))</f>
        <v/>
      </c>
      <c r="AB58" s="133">
        <f ca="1">DAY('Data Preparation'!$AC58)</f>
        <v>5</v>
      </c>
      <c r="AC58" s="143">
        <f t="shared" ca="1" si="1"/>
        <v>43835</v>
      </c>
      <c r="AD58" s="144">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8" s="136">
        <f ca="1">IFERROR(
IF(MONTH(Table10[[#This Row],[dates]])&lt;&gt;MONTH($AC57), Table10[[#This Row],[delta $]]+AE57-SUM(Bills3[Amount]), N("deducts other bills at the end of each month")+
IF(Table10[[#This Row],[delta $]]&lt;&gt;0, Table10[[#This Row],[delta $]]+AE57,
AE57)),
"")</f>
        <v>3136</v>
      </c>
      <c r="AF58" s="136">
        <f ca="1">Table10[[#This Row],[sum per date]]-IF(MONTH(Table10[[#This Row],[dates]])=MONTH(TODAY()),
SUMIF(Bills3[Paid?], "&lt;&gt;Y", Bills3[Amount]), SUM(Bills3[Amount]))</f>
        <v>2516</v>
      </c>
      <c r="AG58" s="136" t="e">
        <f ca="1">IF(AND(
Table10[[#This Row],[fluctuation]]=MIN(INDEX(Table10[fluctuation], MATCH(TODAY(),Table10[dates], 0)):INDEX(Table10[fluctuation], MATCH(end_date,Table10[dates], 0))),
OR(ISNA(INDEX($AF$2:AF57, MATCH(Table10[[#This Row],[fluctuation]], $AF$2:AF57, 0))), ROW(AG58)=2)),
Table10[[#This Row],[fluctuation]],
NA())</f>
        <v>#N/A</v>
      </c>
    </row>
    <row r="59" spans="1:33" x14ac:dyDescent="0.25">
      <c r="D59" s="36"/>
      <c r="V59" s="129">
        <v>43827</v>
      </c>
      <c r="W59" s="1">
        <f>DAY(income_future[[#This Row],[dates]])</f>
        <v>28</v>
      </c>
      <c r="X59" s="130">
        <f ca="1">SUMIF(income_curr[mod( )], MOD(V59, 14), income_curr[income])</f>
        <v>1000</v>
      </c>
      <c r="Z59" s="132">
        <f ca="1">IF(TEXT(Table10[[#This Row],[dates]], "ddd")="Mon", 999999999, "")</f>
        <v>999999999</v>
      </c>
      <c r="AA59" s="132" t="str">
        <f ca="1">IF(TODAY()=Table10[[#This Row],[dates]], TEXT(DATE(2019, MONTH(Table10[[#This Row],[dates]]), 1), "mmm"), IFERROR(IF(MONTH(Table10[[#This Row],[dates]])&lt;&gt;MONTH(AC58), TEXT(DATE(2019, MONTH(Table10[[#This Row],[dates]]), 1), "mmm"), ""), ""))</f>
        <v/>
      </c>
      <c r="AB59" s="133">
        <f ca="1">DAY('Data Preparation'!$AC59)</f>
        <v>6</v>
      </c>
      <c r="AC59" s="134">
        <f t="shared" ca="1" si="1"/>
        <v>43836</v>
      </c>
      <c r="AD5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59" s="136">
        <f ca="1">IFERROR(
IF(MONTH(Table10[[#This Row],[dates]])&lt;&gt;MONTH($AC58), Table10[[#This Row],[delta $]]+AE58-SUM(Bills3[Amount]), N("deducts other bills at the end of each month")+
IF(Table10[[#This Row],[delta $]]&lt;&gt;0, Table10[[#This Row],[delta $]]+AE58,
AE58)),
"")</f>
        <v>3136</v>
      </c>
      <c r="AF59" s="136">
        <f ca="1">Table10[[#This Row],[sum per date]]-IF(MONTH(Table10[[#This Row],[dates]])=MONTH(TODAY()),
SUMIF(Bills3[Paid?], "&lt;&gt;Y", Bills3[Amount]), SUM(Bills3[Amount]))</f>
        <v>2516</v>
      </c>
      <c r="AG59" s="136" t="e">
        <f ca="1">IF(AND(
Table10[[#This Row],[fluctuation]]=MIN(INDEX(Table10[fluctuation], MATCH(TODAY(),Table10[dates], 0)):INDEX(Table10[fluctuation], MATCH(end_date,Table10[dates], 0))),
OR(ISNA(INDEX($AF$2:AF58, MATCH(Table10[[#This Row],[fluctuation]], $AF$2:AF58, 0))), ROW(AG59)=2)),
Table10[[#This Row],[fluctuation]],
NA())</f>
        <v>#N/A</v>
      </c>
    </row>
    <row r="60" spans="1:33" x14ac:dyDescent="0.25">
      <c r="D60" s="36"/>
      <c r="V60" s="129">
        <v>43828</v>
      </c>
      <c r="W60" s="1">
        <f>DAY(income_future[[#This Row],[dates]])</f>
        <v>29</v>
      </c>
      <c r="X60" s="130">
        <f ca="1">SUMIF(income_curr[mod( )], MOD(V60, 14), income_curr[income])</f>
        <v>0</v>
      </c>
      <c r="Z60" s="132" t="str">
        <f ca="1">IF(TEXT(Table10[[#This Row],[dates]], "ddd")="Mon", 999999999, "")</f>
        <v/>
      </c>
      <c r="AA60" s="132" t="str">
        <f ca="1">IF(TODAY()=Table10[[#This Row],[dates]], TEXT(DATE(2019, MONTH(Table10[[#This Row],[dates]]), 1), "mmm"), IFERROR(IF(MONTH(Table10[[#This Row],[dates]])&lt;&gt;MONTH(AC59), TEXT(DATE(2019, MONTH(Table10[[#This Row],[dates]]), 1), "mmm"), ""), ""))</f>
        <v/>
      </c>
      <c r="AB60" s="133">
        <f ca="1">DAY('Data Preparation'!$AC60)</f>
        <v>7</v>
      </c>
      <c r="AC60" s="134">
        <f t="shared" ca="1" si="1"/>
        <v>43837</v>
      </c>
      <c r="AD6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0" s="136">
        <f ca="1">IFERROR(
IF(MONTH(Table10[[#This Row],[dates]])&lt;&gt;MONTH($AC59), Table10[[#This Row],[delta $]]+AE59-SUM(Bills3[Amount]), N("deducts other bills at the end of each month")+
IF(Table10[[#This Row],[delta $]]&lt;&gt;0, Table10[[#This Row],[delta $]]+AE59,
AE59)),
"")</f>
        <v>3136</v>
      </c>
      <c r="AF60" s="136">
        <f ca="1">Table10[[#This Row],[sum per date]]-IF(MONTH(Table10[[#This Row],[dates]])=MONTH(TODAY()),
SUMIF(Bills3[Paid?], "&lt;&gt;Y", Bills3[Amount]), SUM(Bills3[Amount]))</f>
        <v>2516</v>
      </c>
      <c r="AG60" s="136" t="e">
        <f ca="1">IF(AND(
Table10[[#This Row],[fluctuation]]=MIN(INDEX(Table10[fluctuation], MATCH(TODAY(),Table10[dates], 0)):INDEX(Table10[fluctuation], MATCH(end_date,Table10[dates], 0))),
OR(ISNA(INDEX($AF$2:AF59, MATCH(Table10[[#This Row],[fluctuation]], $AF$2:AF59, 0))), ROW(AG60)=2)),
Table10[[#This Row],[fluctuation]],
NA())</f>
        <v>#N/A</v>
      </c>
    </row>
    <row r="61" spans="1:33" ht="15.75" customHeight="1" x14ac:dyDescent="0.25">
      <c r="V61" s="129">
        <v>43829</v>
      </c>
      <c r="W61" s="1">
        <f>DAY(income_future[[#This Row],[dates]])</f>
        <v>30</v>
      </c>
      <c r="X61" s="130">
        <f ca="1">SUMIF(income_curr[mod( )], MOD(V61, 14), income_curr[income])</f>
        <v>0</v>
      </c>
      <c r="Z61" s="132" t="str">
        <f ca="1">IF(TEXT(Table10[[#This Row],[dates]], "ddd")="Mon", 999999999, "")</f>
        <v/>
      </c>
      <c r="AA61" s="132" t="str">
        <f ca="1">IF(TODAY()=Table10[[#This Row],[dates]], TEXT(DATE(2019, MONTH(Table10[[#This Row],[dates]]), 1), "mmm"), IFERROR(IF(MONTH(Table10[[#This Row],[dates]])&lt;&gt;MONTH(AC60), TEXT(DATE(2019, MONTH(Table10[[#This Row],[dates]]), 1), "mmm"), ""), ""))</f>
        <v/>
      </c>
      <c r="AB61" s="133">
        <f ca="1">DAY('Data Preparation'!$AC61)</f>
        <v>8</v>
      </c>
      <c r="AC61" s="134">
        <f t="shared" ca="1" si="1"/>
        <v>43838</v>
      </c>
      <c r="AD6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1" s="136">
        <f ca="1">IFERROR(
IF(MONTH(Table10[[#This Row],[dates]])&lt;&gt;MONTH($AC60), Table10[[#This Row],[delta $]]+AE60-SUM(Bills3[Amount]), N("deducts other bills at the end of each month")+
IF(Table10[[#This Row],[delta $]]&lt;&gt;0, Table10[[#This Row],[delta $]]+AE60,
AE60)),
"")</f>
        <v>3136</v>
      </c>
      <c r="AF61" s="136">
        <f ca="1">Table10[[#This Row],[sum per date]]-IF(MONTH(Table10[[#This Row],[dates]])=MONTH(TODAY()),
SUMIF(Bills3[Paid?], "&lt;&gt;Y", Bills3[Amount]), SUM(Bills3[Amount]))</f>
        <v>2516</v>
      </c>
      <c r="AG61" s="136" t="e">
        <f ca="1">IF(AND(
Table10[[#This Row],[fluctuation]]=MIN(INDEX(Table10[fluctuation], MATCH(TODAY(),Table10[dates], 0)):INDEX(Table10[fluctuation], MATCH(end_date,Table10[dates], 0))),
OR(ISNA(INDEX($AF$2:AF60, MATCH(Table10[[#This Row],[fluctuation]], $AF$2:AF60, 0))), ROW(AG61)=2)),
Table10[[#This Row],[fluctuation]],
NA())</f>
        <v>#N/A</v>
      </c>
    </row>
    <row r="62" spans="1:33" x14ac:dyDescent="0.25">
      <c r="V62" s="129">
        <v>43830</v>
      </c>
      <c r="W62" s="1">
        <f>DAY(income_future[[#This Row],[dates]])</f>
        <v>31</v>
      </c>
      <c r="X62" s="130">
        <f ca="1">SUMIF(income_curr[mod( )], MOD(V62, 14), income_curr[income])</f>
        <v>0</v>
      </c>
      <c r="Z62" s="132" t="str">
        <f ca="1">IF(TEXT(Table10[[#This Row],[dates]], "ddd")="Mon", 999999999, "")</f>
        <v/>
      </c>
      <c r="AA62" s="132" t="str">
        <f ca="1">IF(TODAY()=Table10[[#This Row],[dates]], TEXT(DATE(2019, MONTH(Table10[[#This Row],[dates]]), 1), "mmm"), IFERROR(IF(MONTH(Table10[[#This Row],[dates]])&lt;&gt;MONTH(AC61), TEXT(DATE(2019, MONTH(Table10[[#This Row],[dates]]), 1), "mmm"), ""), ""))</f>
        <v/>
      </c>
      <c r="AB62" s="133">
        <f ca="1">DAY('Data Preparation'!$AC62)</f>
        <v>9</v>
      </c>
      <c r="AC62" s="134">
        <f t="shared" ca="1" si="1"/>
        <v>43839</v>
      </c>
      <c r="AD6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2" s="136">
        <f ca="1">IFERROR(
IF(MONTH(Table10[[#This Row],[dates]])&lt;&gt;MONTH($AC61), Table10[[#This Row],[delta $]]+AE61-SUM(Bills3[Amount]), N("deducts other bills at the end of each month")+
IF(Table10[[#This Row],[delta $]]&lt;&gt;0, Table10[[#This Row],[delta $]]+AE61,
AE61)),
"")</f>
        <v>3136</v>
      </c>
      <c r="AF62" s="136">
        <f ca="1">Table10[[#This Row],[sum per date]]-IF(MONTH(Table10[[#This Row],[dates]])=MONTH(TODAY()),
SUMIF(Bills3[Paid?], "&lt;&gt;Y", Bills3[Amount]), SUM(Bills3[Amount]))</f>
        <v>2516</v>
      </c>
      <c r="AG62" s="136" t="e">
        <f ca="1">IF(AND(
Table10[[#This Row],[fluctuation]]=MIN(INDEX(Table10[fluctuation], MATCH(TODAY(),Table10[dates], 0)):INDEX(Table10[fluctuation], MATCH(end_date,Table10[dates], 0))),
OR(ISNA(INDEX($AF$2:AF61, MATCH(Table10[[#This Row],[fluctuation]], $AF$2:AF61, 0))), ROW(AG62)=2)),
Table10[[#This Row],[fluctuation]],
NA())</f>
        <v>#N/A</v>
      </c>
    </row>
    <row r="63" spans="1:33" x14ac:dyDescent="0.25">
      <c r="V63" s="129">
        <v>43831</v>
      </c>
      <c r="W63" s="1">
        <f>DAY(income_future[[#This Row],[dates]])</f>
        <v>1</v>
      </c>
      <c r="X63" s="130">
        <f ca="1">SUMIF(income_curr[mod( )], MOD(V63, 14), income_curr[income])</f>
        <v>0</v>
      </c>
      <c r="Z63" s="132" t="str">
        <f ca="1">IF(TEXT(Table10[[#This Row],[dates]], "ddd")="Mon", 999999999, "")</f>
        <v/>
      </c>
      <c r="AA63" s="132" t="str">
        <f ca="1">IF(TODAY()=Table10[[#This Row],[dates]], TEXT(DATE(2019, MONTH(Table10[[#This Row],[dates]]), 1), "mmm"), IFERROR(IF(MONTH(Table10[[#This Row],[dates]])&lt;&gt;MONTH(AC62), TEXT(DATE(2019, MONTH(Table10[[#This Row],[dates]]), 1), "mmm"), ""), ""))</f>
        <v/>
      </c>
      <c r="AB63" s="133">
        <f ca="1">DAY('Data Preparation'!$AC63)</f>
        <v>10</v>
      </c>
      <c r="AC63" s="134">
        <f t="shared" ca="1" si="1"/>
        <v>43840</v>
      </c>
      <c r="AD6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3" s="136">
        <f ca="1">IFERROR(
IF(MONTH(Table10[[#This Row],[dates]])&lt;&gt;MONTH($AC62), Table10[[#This Row],[delta $]]+AE62-SUM(Bills3[Amount]), N("deducts other bills at the end of each month")+
IF(Table10[[#This Row],[delta $]]&lt;&gt;0, Table10[[#This Row],[delta $]]+AE62,
AE62)),
"")</f>
        <v>3136</v>
      </c>
      <c r="AF63" s="136">
        <f ca="1">Table10[[#This Row],[sum per date]]-IF(MONTH(Table10[[#This Row],[dates]])=MONTH(TODAY()),
SUMIF(Bills3[Paid?], "&lt;&gt;Y", Bills3[Amount]), SUM(Bills3[Amount]))</f>
        <v>2516</v>
      </c>
      <c r="AG63" s="136" t="e">
        <f ca="1">IF(AND(
Table10[[#This Row],[fluctuation]]=MIN(INDEX(Table10[fluctuation], MATCH(TODAY(),Table10[dates], 0)):INDEX(Table10[fluctuation], MATCH(end_date,Table10[dates], 0))),
OR(ISNA(INDEX($AF$2:AF62, MATCH(Table10[[#This Row],[fluctuation]], $AF$2:AF62, 0))), ROW(AG63)=2)),
Table10[[#This Row],[fluctuation]],
NA())</f>
        <v>#N/A</v>
      </c>
    </row>
    <row r="64" spans="1:33" x14ac:dyDescent="0.25">
      <c r="V64" s="129">
        <v>43832</v>
      </c>
      <c r="W64" s="1">
        <f>DAY(income_future[[#This Row],[dates]])</f>
        <v>2</v>
      </c>
      <c r="X64" s="130">
        <f ca="1">SUMIF(income_curr[mod( )], MOD(V64, 14), income_curr[income])</f>
        <v>0</v>
      </c>
      <c r="Z64" s="132" t="str">
        <f ca="1">IF(TEXT(Table10[[#This Row],[dates]], "ddd")="Mon", 999999999, "")</f>
        <v/>
      </c>
      <c r="AA64" s="132" t="str">
        <f ca="1">IF(TODAY()=Table10[[#This Row],[dates]], TEXT(DATE(2019, MONTH(Table10[[#This Row],[dates]]), 1), "mmm"), IFERROR(IF(MONTH(Table10[[#This Row],[dates]])&lt;&gt;MONTH(AC63), TEXT(DATE(2019, MONTH(Table10[[#This Row],[dates]]), 1), "mmm"), ""), ""))</f>
        <v/>
      </c>
      <c r="AB64" s="133">
        <f ca="1">DAY('Data Preparation'!$AC64)</f>
        <v>11</v>
      </c>
      <c r="AC64" s="134">
        <f t="shared" ca="1" si="1"/>
        <v>43841</v>
      </c>
      <c r="AD6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64" s="136">
        <f ca="1">IFERROR(
IF(MONTH(Table10[[#This Row],[dates]])&lt;&gt;MONTH($AC63), Table10[[#This Row],[delta $]]+AE63-SUM(Bills3[Amount]), N("deducts other bills at the end of each month")+
IF(Table10[[#This Row],[delta $]]&lt;&gt;0, Table10[[#This Row],[delta $]]+AE63,
AE63)),
"")</f>
        <v>4136</v>
      </c>
      <c r="AF64" s="136">
        <f ca="1">Table10[[#This Row],[sum per date]]-IF(MONTH(Table10[[#This Row],[dates]])=MONTH(TODAY()),
SUMIF(Bills3[Paid?], "&lt;&gt;Y", Bills3[Amount]), SUM(Bills3[Amount]))</f>
        <v>3516</v>
      </c>
      <c r="AG64" s="136" t="e">
        <f ca="1">IF(AND(
Table10[[#This Row],[fluctuation]]=MIN(INDEX(Table10[fluctuation], MATCH(TODAY(),Table10[dates], 0)):INDEX(Table10[fluctuation], MATCH(end_date,Table10[dates], 0))),
OR(ISNA(INDEX($AF$2:AF63, MATCH(Table10[[#This Row],[fluctuation]], $AF$2:AF63, 0))), ROW(AG64)=2)),
Table10[[#This Row],[fluctuation]],
NA())</f>
        <v>#N/A</v>
      </c>
    </row>
    <row r="65" spans="4:33" x14ac:dyDescent="0.25">
      <c r="V65" s="129">
        <v>43833</v>
      </c>
      <c r="W65" s="1">
        <f>DAY(income_future[[#This Row],[dates]])</f>
        <v>3</v>
      </c>
      <c r="X65" s="130">
        <f ca="1">SUMIF(income_curr[mod( )], MOD(V65, 14), income_curr[income])</f>
        <v>0</v>
      </c>
      <c r="Z65" s="132" t="str">
        <f ca="1">IF(TEXT(Table10[[#This Row],[dates]], "ddd")="Mon", 999999999, "")</f>
        <v/>
      </c>
      <c r="AA65" s="132" t="str">
        <f ca="1">IF(TODAY()=Table10[[#This Row],[dates]], TEXT(DATE(2019, MONTH(Table10[[#This Row],[dates]]), 1), "mmm"), IFERROR(IF(MONTH(Table10[[#This Row],[dates]])&lt;&gt;MONTH(AC64), TEXT(DATE(2019, MONTH(Table10[[#This Row],[dates]]), 1), "mmm"), ""), ""))</f>
        <v/>
      </c>
      <c r="AB65" s="133">
        <f ca="1">DAY('Data Preparation'!$AC65)</f>
        <v>12</v>
      </c>
      <c r="AC65" s="134">
        <f t="shared" ca="1" si="1"/>
        <v>43842</v>
      </c>
      <c r="AD6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5" s="136">
        <f ca="1">IFERROR(
IF(MONTH(Table10[[#This Row],[dates]])&lt;&gt;MONTH($AC64), Table10[[#This Row],[delta $]]+AE64-SUM(Bills3[Amount]), N("deducts other bills at the end of each month")+
IF(Table10[[#This Row],[delta $]]&lt;&gt;0, Table10[[#This Row],[delta $]]+AE64,
AE64)),
"")</f>
        <v>4136</v>
      </c>
      <c r="AF65" s="136">
        <f ca="1">Table10[[#This Row],[sum per date]]-IF(MONTH(Table10[[#This Row],[dates]])=MONTH(TODAY()),
SUMIF(Bills3[Paid?], "&lt;&gt;Y", Bills3[Amount]), SUM(Bills3[Amount]))</f>
        <v>3516</v>
      </c>
      <c r="AG65" s="136" t="e">
        <f ca="1">IF(AND(
Table10[[#This Row],[fluctuation]]=MIN(INDEX(Table10[fluctuation], MATCH(TODAY(),Table10[dates], 0)):INDEX(Table10[fluctuation], MATCH(end_date,Table10[dates], 0))),
OR(ISNA(INDEX($AF$2:AF64, MATCH(Table10[[#This Row],[fluctuation]], $AF$2:AF64, 0))), ROW(AG65)=2)),
Table10[[#This Row],[fluctuation]],
NA())</f>
        <v>#N/A</v>
      </c>
    </row>
    <row r="66" spans="4:33" x14ac:dyDescent="0.25">
      <c r="V66" s="129">
        <v>43834</v>
      </c>
      <c r="W66" s="1">
        <f>DAY(income_future[[#This Row],[dates]])</f>
        <v>4</v>
      </c>
      <c r="X66" s="130">
        <f ca="1">SUMIF(income_curr[mod( )], MOD(V66, 14), income_curr[income])</f>
        <v>0</v>
      </c>
      <c r="Z66" s="132">
        <f ca="1">IF(TEXT(Table10[[#This Row],[dates]], "ddd")="Mon", 999999999, "")</f>
        <v>999999999</v>
      </c>
      <c r="AA66" s="132" t="str">
        <f ca="1">IF(TODAY()=Table10[[#This Row],[dates]], TEXT(DATE(2019, MONTH(Table10[[#This Row],[dates]]), 1), "mmm"), IFERROR(IF(MONTH(Table10[[#This Row],[dates]])&lt;&gt;MONTH(AC65), TEXT(DATE(2019, MONTH(Table10[[#This Row],[dates]]), 1), "mmm"), ""), ""))</f>
        <v/>
      </c>
      <c r="AB66" s="133">
        <f ca="1">DAY('Data Preparation'!$AC66)</f>
        <v>13</v>
      </c>
      <c r="AC66" s="134">
        <f t="shared" ref="AC66:AC97" ca="1" si="2">TODAY()+(ROW(AB66)-ROW($AB$2))</f>
        <v>43843</v>
      </c>
      <c r="AD6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6" s="136">
        <f ca="1">IFERROR(
IF(MONTH(Table10[[#This Row],[dates]])&lt;&gt;MONTH($AC65), Table10[[#This Row],[delta $]]+AE65-SUM(Bills3[Amount]), N("deducts other bills at the end of each month")+
IF(Table10[[#This Row],[delta $]]&lt;&gt;0, Table10[[#This Row],[delta $]]+AE65,
AE65)),
"")</f>
        <v>4136</v>
      </c>
      <c r="AF66" s="136">
        <f ca="1">Table10[[#This Row],[sum per date]]-IF(MONTH(Table10[[#This Row],[dates]])=MONTH(TODAY()),
SUMIF(Bills3[Paid?], "&lt;&gt;Y", Bills3[Amount]), SUM(Bills3[Amount]))</f>
        <v>3516</v>
      </c>
      <c r="AG66" s="136" t="e">
        <f ca="1">IF(AND(
Table10[[#This Row],[fluctuation]]=MIN(INDEX(Table10[fluctuation], MATCH(TODAY(),Table10[dates], 0)):INDEX(Table10[fluctuation], MATCH(end_date,Table10[dates], 0))),
OR(ISNA(INDEX($AF$2:AF65, MATCH(Table10[[#This Row],[fluctuation]], $AF$2:AF65, 0))), ROW(AG66)=2)),
Table10[[#This Row],[fluctuation]],
NA())</f>
        <v>#N/A</v>
      </c>
    </row>
    <row r="67" spans="4:33" x14ac:dyDescent="0.25">
      <c r="V67" s="129">
        <v>43835</v>
      </c>
      <c r="W67" s="1">
        <f>DAY(income_future[[#This Row],[dates]])</f>
        <v>5</v>
      </c>
      <c r="X67" s="130">
        <f ca="1">SUMIF(income_curr[mod( )], MOD(V67, 14), income_curr[income])</f>
        <v>0</v>
      </c>
      <c r="Z67" s="132" t="str">
        <f ca="1">IF(TEXT(Table10[[#This Row],[dates]], "ddd")="Mon", 999999999, "")</f>
        <v/>
      </c>
      <c r="AA67" s="132" t="str">
        <f ca="1">IF(TODAY()=Table10[[#This Row],[dates]], TEXT(DATE(2019, MONTH(Table10[[#This Row],[dates]]), 1), "mmm"), IFERROR(IF(MONTH(Table10[[#This Row],[dates]])&lt;&gt;MONTH(AC66), TEXT(DATE(2019, MONTH(Table10[[#This Row],[dates]]), 1), "mmm"), ""), ""))</f>
        <v/>
      </c>
      <c r="AB67" s="133">
        <f ca="1">DAY('Data Preparation'!$AC67)</f>
        <v>14</v>
      </c>
      <c r="AC67" s="134">
        <f t="shared" ca="1" si="2"/>
        <v>43844</v>
      </c>
      <c r="AD6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7" s="136">
        <f ca="1">IFERROR(
IF(MONTH(Table10[[#This Row],[dates]])&lt;&gt;MONTH($AC66), Table10[[#This Row],[delta $]]+AE66-SUM(Bills3[Amount]), N("deducts other bills at the end of each month")+
IF(Table10[[#This Row],[delta $]]&lt;&gt;0, Table10[[#This Row],[delta $]]+AE66,
AE66)),
"")</f>
        <v>4136</v>
      </c>
      <c r="AF67" s="136">
        <f ca="1">Table10[[#This Row],[sum per date]]-IF(MONTH(Table10[[#This Row],[dates]])=MONTH(TODAY()),
SUMIF(Bills3[Paid?], "&lt;&gt;Y", Bills3[Amount]), SUM(Bills3[Amount]))</f>
        <v>3516</v>
      </c>
      <c r="AG67" s="136" t="e">
        <f ca="1">IF(AND(
Table10[[#This Row],[fluctuation]]=MIN(INDEX(Table10[fluctuation], MATCH(TODAY(),Table10[dates], 0)):INDEX(Table10[fluctuation], MATCH(end_date,Table10[dates], 0))),
OR(ISNA(INDEX($AF$2:AF66, MATCH(Table10[[#This Row],[fluctuation]], $AF$2:AF66, 0))), ROW(AG67)=2)),
Table10[[#This Row],[fluctuation]],
NA())</f>
        <v>#N/A</v>
      </c>
    </row>
    <row r="68" spans="4:33" x14ac:dyDescent="0.25">
      <c r="V68" s="129">
        <v>43836</v>
      </c>
      <c r="W68" s="1">
        <f>DAY(income_future[[#This Row],[dates]])</f>
        <v>6</v>
      </c>
      <c r="X68" s="130">
        <f ca="1">SUMIF(income_curr[mod( )], MOD(V68, 14), income_curr[income])</f>
        <v>0</v>
      </c>
      <c r="Z68" s="132" t="str">
        <f ca="1">IF(TEXT(Table10[[#This Row],[dates]], "ddd")="Mon", 999999999, "")</f>
        <v/>
      </c>
      <c r="AA68" s="132" t="str">
        <f ca="1">IF(TODAY()=Table10[[#This Row],[dates]], TEXT(DATE(2019, MONTH(Table10[[#This Row],[dates]]), 1), "mmm"), IFERROR(IF(MONTH(Table10[[#This Row],[dates]])&lt;&gt;MONTH(AC67), TEXT(DATE(2019, MONTH(Table10[[#This Row],[dates]]), 1), "mmm"), ""), ""))</f>
        <v/>
      </c>
      <c r="AB68" s="133">
        <f ca="1">DAY('Data Preparation'!$AC68)</f>
        <v>15</v>
      </c>
      <c r="AC68" s="134">
        <f t="shared" ca="1" si="2"/>
        <v>43845</v>
      </c>
      <c r="AD6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68" s="136">
        <f ca="1">IFERROR(
IF(MONTH(Table10[[#This Row],[dates]])&lt;&gt;MONTH($AC67), Table10[[#This Row],[delta $]]+AE67-SUM(Bills3[Amount]), N("deducts other bills at the end of each month")+
IF(Table10[[#This Row],[delta $]]&lt;&gt;0, Table10[[#This Row],[delta $]]+AE67,
AE67)),
"")</f>
        <v>3924</v>
      </c>
      <c r="AF68" s="136">
        <f ca="1">Table10[[#This Row],[sum per date]]-IF(MONTH(Table10[[#This Row],[dates]])=MONTH(TODAY()),
SUMIF(Bills3[Paid?], "&lt;&gt;Y", Bills3[Amount]), SUM(Bills3[Amount]))</f>
        <v>3304</v>
      </c>
      <c r="AG68" s="136" t="e">
        <f ca="1">IF(AND(
Table10[[#This Row],[fluctuation]]=MIN(INDEX(Table10[fluctuation], MATCH(TODAY(),Table10[dates], 0)):INDEX(Table10[fluctuation], MATCH(end_date,Table10[dates], 0))),
OR(ISNA(INDEX($AF$2:AF67, MATCH(Table10[[#This Row],[fluctuation]], $AF$2:AF67, 0))), ROW(AG68)=2)),
Table10[[#This Row],[fluctuation]],
NA())</f>
        <v>#N/A</v>
      </c>
    </row>
    <row r="69" spans="4:33" x14ac:dyDescent="0.25">
      <c r="V69" s="129">
        <v>43837</v>
      </c>
      <c r="W69" s="1">
        <f>DAY(income_future[[#This Row],[dates]])</f>
        <v>7</v>
      </c>
      <c r="X69" s="130">
        <f ca="1">SUMIF(income_curr[mod( )], MOD(V69, 14), income_curr[income])</f>
        <v>0</v>
      </c>
      <c r="Z69" s="132" t="str">
        <f ca="1">IF(TEXT(Table10[[#This Row],[dates]], "ddd")="Mon", 999999999, "")</f>
        <v/>
      </c>
      <c r="AA69" s="132" t="str">
        <f ca="1">IF(TODAY()=Table10[[#This Row],[dates]], TEXT(DATE(2019, MONTH(Table10[[#This Row],[dates]]), 1), "mmm"), IFERROR(IF(MONTH(Table10[[#This Row],[dates]])&lt;&gt;MONTH(AC68), TEXT(DATE(2019, MONTH(Table10[[#This Row],[dates]]), 1), "mmm"), ""), ""))</f>
        <v/>
      </c>
      <c r="AB69" s="133">
        <f ca="1">DAY('Data Preparation'!$AC69)</f>
        <v>16</v>
      </c>
      <c r="AC69" s="134">
        <f t="shared" ca="1" si="2"/>
        <v>43846</v>
      </c>
      <c r="AD6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69" s="136">
        <f ca="1">IFERROR(
IF(MONTH(Table10[[#This Row],[dates]])&lt;&gt;MONTH($AC68), Table10[[#This Row],[delta $]]+AE68-SUM(Bills3[Amount]), N("deducts other bills at the end of each month")+
IF(Table10[[#This Row],[delta $]]&lt;&gt;0, Table10[[#This Row],[delta $]]+AE68,
AE68)),
"")</f>
        <v>3924</v>
      </c>
      <c r="AF69" s="136">
        <f ca="1">Table10[[#This Row],[sum per date]]-IF(MONTH(Table10[[#This Row],[dates]])=MONTH(TODAY()),
SUMIF(Bills3[Paid?], "&lt;&gt;Y", Bills3[Amount]), SUM(Bills3[Amount]))</f>
        <v>3304</v>
      </c>
      <c r="AG69" s="136" t="e">
        <f ca="1">IF(AND(
Table10[[#This Row],[fluctuation]]=MIN(INDEX(Table10[fluctuation], MATCH(TODAY(),Table10[dates], 0)):INDEX(Table10[fluctuation], MATCH(end_date,Table10[dates], 0))),
OR(ISNA(INDEX($AF$2:AF68, MATCH(Table10[[#This Row],[fluctuation]], $AF$2:AF68, 0))), ROW(AG69)=2)),
Table10[[#This Row],[fluctuation]],
NA())</f>
        <v>#N/A</v>
      </c>
    </row>
    <row r="70" spans="4:33" x14ac:dyDescent="0.25">
      <c r="V70" s="129">
        <v>43838</v>
      </c>
      <c r="W70" s="1">
        <f>DAY(income_future[[#This Row],[dates]])</f>
        <v>8</v>
      </c>
      <c r="X70" s="130">
        <f ca="1">SUMIF(income_curr[mod( )], MOD(V70, 14), income_curr[income])</f>
        <v>0</v>
      </c>
      <c r="Z70" s="132" t="str">
        <f ca="1">IF(TEXT(Table10[[#This Row],[dates]], "ddd")="Mon", 999999999, "")</f>
        <v/>
      </c>
      <c r="AA70" s="132" t="str">
        <f ca="1">IF(TODAY()=Table10[[#This Row],[dates]], TEXT(DATE(2019, MONTH(Table10[[#This Row],[dates]]), 1), "mmm"), IFERROR(IF(MONTH(Table10[[#This Row],[dates]])&lt;&gt;MONTH(AC69), TEXT(DATE(2019, MONTH(Table10[[#This Row],[dates]]), 1), "mmm"), ""), ""))</f>
        <v/>
      </c>
      <c r="AB70" s="133">
        <f ca="1">DAY('Data Preparation'!$AC70)</f>
        <v>17</v>
      </c>
      <c r="AC70" s="134">
        <f t="shared" ca="1" si="2"/>
        <v>43847</v>
      </c>
      <c r="AD7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0" s="136">
        <f ca="1">IFERROR(
IF(MONTH(Table10[[#This Row],[dates]])&lt;&gt;MONTH($AC69), Table10[[#This Row],[delta $]]+AE69-SUM(Bills3[Amount]), N("deducts other bills at the end of each month")+
IF(Table10[[#This Row],[delta $]]&lt;&gt;0, Table10[[#This Row],[delta $]]+AE69,
AE69)),
"")</f>
        <v>3924</v>
      </c>
      <c r="AF70" s="136">
        <f ca="1">Table10[[#This Row],[sum per date]]-IF(MONTH(Table10[[#This Row],[dates]])=MONTH(TODAY()),
SUMIF(Bills3[Paid?], "&lt;&gt;Y", Bills3[Amount]), SUM(Bills3[Amount]))</f>
        <v>3304</v>
      </c>
      <c r="AG70" s="136" t="e">
        <f ca="1">IF(AND(
Table10[[#This Row],[fluctuation]]=MIN(INDEX(Table10[fluctuation], MATCH(TODAY(),Table10[dates], 0)):INDEX(Table10[fluctuation], MATCH(end_date,Table10[dates], 0))),
OR(ISNA(INDEX($AF$2:AF69, MATCH(Table10[[#This Row],[fluctuation]], $AF$2:AF69, 0))), ROW(AG70)=2)),
Table10[[#This Row],[fluctuation]],
NA())</f>
        <v>#N/A</v>
      </c>
    </row>
    <row r="71" spans="4:33" x14ac:dyDescent="0.25">
      <c r="V71" s="129">
        <v>43839</v>
      </c>
      <c r="W71" s="1">
        <f>DAY(income_future[[#This Row],[dates]])</f>
        <v>9</v>
      </c>
      <c r="X71" s="130">
        <f ca="1">SUMIF(income_curr[mod( )], MOD(V71, 14), income_curr[income])</f>
        <v>0</v>
      </c>
      <c r="Z71" s="132" t="str">
        <f ca="1">IF(TEXT(Table10[[#This Row],[dates]], "ddd")="Mon", 999999999, "")</f>
        <v/>
      </c>
      <c r="AA71" s="132" t="str">
        <f ca="1">IF(TODAY()=Table10[[#This Row],[dates]], TEXT(DATE(2019, MONTH(Table10[[#This Row],[dates]]), 1), "mmm"), IFERROR(IF(MONTH(Table10[[#This Row],[dates]])&lt;&gt;MONTH(AC70), TEXT(DATE(2019, MONTH(Table10[[#This Row],[dates]]), 1), "mmm"), ""), ""))</f>
        <v/>
      </c>
      <c r="AB71" s="133">
        <f ca="1">DAY('Data Preparation'!$AC71)</f>
        <v>18</v>
      </c>
      <c r="AC71" s="134">
        <f t="shared" ca="1" si="2"/>
        <v>43848</v>
      </c>
      <c r="AD7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1" s="136">
        <f ca="1">IFERROR(
IF(MONTH(Table10[[#This Row],[dates]])&lt;&gt;MONTH($AC70), Table10[[#This Row],[delta $]]+AE70-SUM(Bills3[Amount]), N("deducts other bills at the end of each month")+
IF(Table10[[#This Row],[delta $]]&lt;&gt;0, Table10[[#This Row],[delta $]]+AE70,
AE70)),
"")</f>
        <v>3924</v>
      </c>
      <c r="AF71" s="136">
        <f ca="1">Table10[[#This Row],[sum per date]]-IF(MONTH(Table10[[#This Row],[dates]])=MONTH(TODAY()),
SUMIF(Bills3[Paid?], "&lt;&gt;Y", Bills3[Amount]), SUM(Bills3[Amount]))</f>
        <v>3304</v>
      </c>
      <c r="AG71" s="136" t="e">
        <f ca="1">IF(AND(
Table10[[#This Row],[fluctuation]]=MIN(INDEX(Table10[fluctuation], MATCH(TODAY(),Table10[dates], 0)):INDEX(Table10[fluctuation], MATCH(end_date,Table10[dates], 0))),
OR(ISNA(INDEX($AF$2:AF70, MATCH(Table10[[#This Row],[fluctuation]], $AF$2:AF70, 0))), ROW(AG71)=2)),
Table10[[#This Row],[fluctuation]],
NA())</f>
        <v>#N/A</v>
      </c>
    </row>
    <row r="72" spans="4:33" x14ac:dyDescent="0.25">
      <c r="V72" s="129">
        <v>43840</v>
      </c>
      <c r="W72" s="1">
        <f>DAY(income_future[[#This Row],[dates]])</f>
        <v>10</v>
      </c>
      <c r="X72" s="130">
        <f ca="1">SUMIF(income_curr[mod( )], MOD(V72, 14), income_curr[income])</f>
        <v>0</v>
      </c>
      <c r="Z72" s="132" t="str">
        <f ca="1">IF(TEXT(Table10[[#This Row],[dates]], "ddd")="Mon", 999999999, "")</f>
        <v/>
      </c>
      <c r="AA72" s="132" t="str">
        <f ca="1">IF(TODAY()=Table10[[#This Row],[dates]], TEXT(DATE(2019, MONTH(Table10[[#This Row],[dates]]), 1), "mmm"), IFERROR(IF(MONTH(Table10[[#This Row],[dates]])&lt;&gt;MONTH(AC71), TEXT(DATE(2019, MONTH(Table10[[#This Row],[dates]]), 1), "mmm"), ""), ""))</f>
        <v/>
      </c>
      <c r="AB72" s="133">
        <f ca="1">DAY('Data Preparation'!$AC72)</f>
        <v>19</v>
      </c>
      <c r="AC72" s="134">
        <f t="shared" ca="1" si="2"/>
        <v>43849</v>
      </c>
      <c r="AD7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2" s="136">
        <f ca="1">IFERROR(
IF(MONTH(Table10[[#This Row],[dates]])&lt;&gt;MONTH($AC71), Table10[[#This Row],[delta $]]+AE71-SUM(Bills3[Amount]), N("deducts other bills at the end of each month")+
IF(Table10[[#This Row],[delta $]]&lt;&gt;0, Table10[[#This Row],[delta $]]+AE71,
AE71)),
"")</f>
        <v>3924</v>
      </c>
      <c r="AF72" s="136">
        <f ca="1">Table10[[#This Row],[sum per date]]-IF(MONTH(Table10[[#This Row],[dates]])=MONTH(TODAY()),
SUMIF(Bills3[Paid?], "&lt;&gt;Y", Bills3[Amount]), SUM(Bills3[Amount]))</f>
        <v>3304</v>
      </c>
      <c r="AG72" s="136" t="e">
        <f ca="1">IF(AND(
Table10[[#This Row],[fluctuation]]=MIN(INDEX(Table10[fluctuation], MATCH(TODAY(),Table10[dates], 0)):INDEX(Table10[fluctuation], MATCH(end_date,Table10[dates], 0))),
OR(ISNA(INDEX($AF$2:AF71, MATCH(Table10[[#This Row],[fluctuation]], $AF$2:AF71, 0))), ROW(AG72)=2)),
Table10[[#This Row],[fluctuation]],
NA())</f>
        <v>#N/A</v>
      </c>
    </row>
    <row r="73" spans="4:33" x14ac:dyDescent="0.25">
      <c r="V73" s="129">
        <v>43841</v>
      </c>
      <c r="W73" s="1">
        <f>DAY(income_future[[#This Row],[dates]])</f>
        <v>11</v>
      </c>
      <c r="X73" s="130">
        <f ca="1">SUMIF(income_curr[mod( )], MOD(V73, 14), income_curr[income])</f>
        <v>1000</v>
      </c>
      <c r="Z73" s="132">
        <f ca="1">IF(TEXT(Table10[[#This Row],[dates]], "ddd")="Mon", 999999999, "")</f>
        <v>999999999</v>
      </c>
      <c r="AA73" s="132" t="str">
        <f ca="1">IF(TODAY()=Table10[[#This Row],[dates]], TEXT(DATE(2019, MONTH(Table10[[#This Row],[dates]]), 1), "mmm"), IFERROR(IF(MONTH(Table10[[#This Row],[dates]])&lt;&gt;MONTH(AC72), TEXT(DATE(2019, MONTH(Table10[[#This Row],[dates]]), 1), "mmm"), ""), ""))</f>
        <v/>
      </c>
      <c r="AB73" s="133">
        <f ca="1">DAY('Data Preparation'!$AC73)</f>
        <v>20</v>
      </c>
      <c r="AC73" s="134">
        <f t="shared" ca="1" si="2"/>
        <v>43850</v>
      </c>
      <c r="AD7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3" s="136">
        <f ca="1">IFERROR(
IF(MONTH(Table10[[#This Row],[dates]])&lt;&gt;MONTH($AC72), Table10[[#This Row],[delta $]]+AE72-SUM(Bills3[Amount]), N("deducts other bills at the end of each month")+
IF(Table10[[#This Row],[delta $]]&lt;&gt;0, Table10[[#This Row],[delta $]]+AE72,
AE72)),
"")</f>
        <v>3924</v>
      </c>
      <c r="AF73" s="136">
        <f ca="1">Table10[[#This Row],[sum per date]]-IF(MONTH(Table10[[#This Row],[dates]])=MONTH(TODAY()),
SUMIF(Bills3[Paid?], "&lt;&gt;Y", Bills3[Amount]), SUM(Bills3[Amount]))</f>
        <v>3304</v>
      </c>
      <c r="AG73" s="136" t="e">
        <f ca="1">IF(AND(
Table10[[#This Row],[fluctuation]]=MIN(INDEX(Table10[fluctuation], MATCH(TODAY(),Table10[dates], 0)):INDEX(Table10[fluctuation], MATCH(end_date,Table10[dates], 0))),
OR(ISNA(INDEX($AF$2:AF72, MATCH(Table10[[#This Row],[fluctuation]], $AF$2:AF72, 0))), ROW(AG73)=2)),
Table10[[#This Row],[fluctuation]],
NA())</f>
        <v>#N/A</v>
      </c>
    </row>
    <row r="74" spans="4:33" x14ac:dyDescent="0.25">
      <c r="V74" s="129">
        <v>43842</v>
      </c>
      <c r="W74" s="1">
        <f>DAY(income_future[[#This Row],[dates]])</f>
        <v>12</v>
      </c>
      <c r="X74" s="130">
        <f ca="1">SUMIF(income_curr[mod( )], MOD(V74, 14), income_curr[income])</f>
        <v>0</v>
      </c>
      <c r="Z74" s="132" t="str">
        <f ca="1">IF(TEXT(Table10[[#This Row],[dates]], "ddd")="Mon", 999999999, "")</f>
        <v/>
      </c>
      <c r="AA74" s="132" t="str">
        <f ca="1">IF(TODAY()=Table10[[#This Row],[dates]], TEXT(DATE(2019, MONTH(Table10[[#This Row],[dates]]), 1), "mmm"), IFERROR(IF(MONTH(Table10[[#This Row],[dates]])&lt;&gt;MONTH(AC73), TEXT(DATE(2019, MONTH(Table10[[#This Row],[dates]]), 1), "mmm"), ""), ""))</f>
        <v/>
      </c>
      <c r="AB74" s="133">
        <f ca="1">DAY('Data Preparation'!$AC74)</f>
        <v>21</v>
      </c>
      <c r="AC74" s="134">
        <f t="shared" ca="1" si="2"/>
        <v>43851</v>
      </c>
      <c r="AD7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4" s="136">
        <f ca="1">IFERROR(
IF(MONTH(Table10[[#This Row],[dates]])&lt;&gt;MONTH($AC73), Table10[[#This Row],[delta $]]+AE73-SUM(Bills3[Amount]), N("deducts other bills at the end of each month")+
IF(Table10[[#This Row],[delta $]]&lt;&gt;0, Table10[[#This Row],[delta $]]+AE73,
AE73)),
"")</f>
        <v>3924</v>
      </c>
      <c r="AF74" s="136">
        <f ca="1">Table10[[#This Row],[sum per date]]-IF(MONTH(Table10[[#This Row],[dates]])=MONTH(TODAY()),
SUMIF(Bills3[Paid?], "&lt;&gt;Y", Bills3[Amount]), SUM(Bills3[Amount]))</f>
        <v>3304</v>
      </c>
      <c r="AG74" s="136" t="e">
        <f ca="1">IF(AND(
Table10[[#This Row],[fluctuation]]=MIN(INDEX(Table10[fluctuation], MATCH(TODAY(),Table10[dates], 0)):INDEX(Table10[fluctuation], MATCH(end_date,Table10[dates], 0))),
OR(ISNA(INDEX($AF$2:AF73, MATCH(Table10[[#This Row],[fluctuation]], $AF$2:AF73, 0))), ROW(AG74)=2)),
Table10[[#This Row],[fluctuation]],
NA())</f>
        <v>#N/A</v>
      </c>
    </row>
    <row r="75" spans="4:33" x14ac:dyDescent="0.25">
      <c r="V75" s="129">
        <v>43843</v>
      </c>
      <c r="W75" s="1">
        <f>DAY(income_future[[#This Row],[dates]])</f>
        <v>13</v>
      </c>
      <c r="X75" s="130">
        <f ca="1">SUMIF(income_curr[mod( )], MOD(V75, 14), income_curr[income])</f>
        <v>0</v>
      </c>
      <c r="Z75" s="132" t="str">
        <f ca="1">IF(TEXT(Table10[[#This Row],[dates]], "ddd")="Mon", 999999999, "")</f>
        <v/>
      </c>
      <c r="AA75" s="132" t="str">
        <f ca="1">IF(TODAY()=Table10[[#This Row],[dates]], TEXT(DATE(2019, MONTH(Table10[[#This Row],[dates]]), 1), "mmm"), IFERROR(IF(MONTH(Table10[[#This Row],[dates]])&lt;&gt;MONTH(AC74), TEXT(DATE(2019, MONTH(Table10[[#This Row],[dates]]), 1), "mmm"), ""), ""))</f>
        <v/>
      </c>
      <c r="AB75" s="133">
        <f ca="1">DAY('Data Preparation'!$AC75)</f>
        <v>22</v>
      </c>
      <c r="AC75" s="134">
        <f t="shared" ca="1" si="2"/>
        <v>43852</v>
      </c>
      <c r="AD7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5" s="136">
        <f ca="1">IFERROR(
IF(MONTH(Table10[[#This Row],[dates]])&lt;&gt;MONTH($AC74), Table10[[#This Row],[delta $]]+AE74-SUM(Bills3[Amount]), N("deducts other bills at the end of each month")+
IF(Table10[[#This Row],[delta $]]&lt;&gt;0, Table10[[#This Row],[delta $]]+AE74,
AE74)),
"")</f>
        <v>3924</v>
      </c>
      <c r="AF75" s="136">
        <f ca="1">Table10[[#This Row],[sum per date]]-IF(MONTH(Table10[[#This Row],[dates]])=MONTH(TODAY()),
SUMIF(Bills3[Paid?], "&lt;&gt;Y", Bills3[Amount]), SUM(Bills3[Amount]))</f>
        <v>3304</v>
      </c>
      <c r="AG75" s="136" t="e">
        <f ca="1">IF(AND(
Table10[[#This Row],[fluctuation]]=MIN(INDEX(Table10[fluctuation], MATCH(TODAY(),Table10[dates], 0)):INDEX(Table10[fluctuation], MATCH(end_date,Table10[dates], 0))),
OR(ISNA(INDEX($AF$2:AF74, MATCH(Table10[[#This Row],[fluctuation]], $AF$2:AF74, 0))), ROW(AG75)=2)),
Table10[[#This Row],[fluctuation]],
NA())</f>
        <v>#N/A</v>
      </c>
    </row>
    <row r="76" spans="4:33" x14ac:dyDescent="0.25">
      <c r="V76" s="129">
        <v>43844</v>
      </c>
      <c r="W76" s="1">
        <f>DAY(income_future[[#This Row],[dates]])</f>
        <v>14</v>
      </c>
      <c r="X76" s="130">
        <f ca="1">SUMIF(income_curr[mod( )], MOD(V76, 14), income_curr[income])</f>
        <v>0</v>
      </c>
      <c r="Z76" s="132" t="str">
        <f ca="1">IF(TEXT(Table10[[#This Row],[dates]], "ddd")="Mon", 999999999, "")</f>
        <v/>
      </c>
      <c r="AA76" s="132" t="str">
        <f ca="1">IF(TODAY()=Table10[[#This Row],[dates]], TEXT(DATE(2019, MONTH(Table10[[#This Row],[dates]]), 1), "mmm"), IFERROR(IF(MONTH(Table10[[#This Row],[dates]])&lt;&gt;MONTH(AC75), TEXT(DATE(2019, MONTH(Table10[[#This Row],[dates]]), 1), "mmm"), ""), ""))</f>
        <v/>
      </c>
      <c r="AB76" s="133">
        <f ca="1">DAY('Data Preparation'!$AC76)</f>
        <v>23</v>
      </c>
      <c r="AC76" s="134">
        <f t="shared" ca="1" si="2"/>
        <v>43853</v>
      </c>
      <c r="AD7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6" s="136">
        <f ca="1">IFERROR(
IF(MONTH(Table10[[#This Row],[dates]])&lt;&gt;MONTH($AC75), Table10[[#This Row],[delta $]]+AE75-SUM(Bills3[Amount]), N("deducts other bills at the end of each month")+
IF(Table10[[#This Row],[delta $]]&lt;&gt;0, Table10[[#This Row],[delta $]]+AE75,
AE75)),
"")</f>
        <v>3924</v>
      </c>
      <c r="AF76" s="136">
        <f ca="1">Table10[[#This Row],[sum per date]]-IF(MONTH(Table10[[#This Row],[dates]])=MONTH(TODAY()),
SUMIF(Bills3[Paid?], "&lt;&gt;Y", Bills3[Amount]), SUM(Bills3[Amount]))</f>
        <v>3304</v>
      </c>
      <c r="AG76" s="136" t="e">
        <f ca="1">IF(AND(
Table10[[#This Row],[fluctuation]]=MIN(INDEX(Table10[fluctuation], MATCH(TODAY(),Table10[dates], 0)):INDEX(Table10[fluctuation], MATCH(end_date,Table10[dates], 0))),
OR(ISNA(INDEX($AF$2:AF75, MATCH(Table10[[#This Row],[fluctuation]], $AF$2:AF75, 0))), ROW(AG76)=2)),
Table10[[#This Row],[fluctuation]],
NA())</f>
        <v>#N/A</v>
      </c>
    </row>
    <row r="77" spans="4:33" x14ac:dyDescent="0.25">
      <c r="V77" s="129">
        <v>43845</v>
      </c>
      <c r="W77" s="1">
        <f>DAY(income_future[[#This Row],[dates]])</f>
        <v>15</v>
      </c>
      <c r="X77" s="130">
        <f ca="1">SUMIF(income_curr[mod( )], MOD(V77, 14), income_curr[income])</f>
        <v>0</v>
      </c>
      <c r="Z77" s="132" t="str">
        <f ca="1">IF(TEXT(Table10[[#This Row],[dates]], "ddd")="Mon", 999999999, "")</f>
        <v/>
      </c>
      <c r="AA77" s="132" t="str">
        <f ca="1">IF(TODAY()=Table10[[#This Row],[dates]], TEXT(DATE(2019, MONTH(Table10[[#This Row],[dates]]), 1), "mmm"), IFERROR(IF(MONTH(Table10[[#This Row],[dates]])&lt;&gt;MONTH(AC76), TEXT(DATE(2019, MONTH(Table10[[#This Row],[dates]]), 1), "mmm"), ""), ""))</f>
        <v/>
      </c>
      <c r="AB77" s="133">
        <f ca="1">DAY('Data Preparation'!$AC77)</f>
        <v>24</v>
      </c>
      <c r="AC77" s="134">
        <f t="shared" ca="1" si="2"/>
        <v>43854</v>
      </c>
      <c r="AD7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7" s="136">
        <f ca="1">IFERROR(
IF(MONTH(Table10[[#This Row],[dates]])&lt;&gt;MONTH($AC76), Table10[[#This Row],[delta $]]+AE76-SUM(Bills3[Amount]), N("deducts other bills at the end of each month")+
IF(Table10[[#This Row],[delta $]]&lt;&gt;0, Table10[[#This Row],[delta $]]+AE76,
AE76)),
"")</f>
        <v>3924</v>
      </c>
      <c r="AF77" s="136">
        <f ca="1">Table10[[#This Row],[sum per date]]-IF(MONTH(Table10[[#This Row],[dates]])=MONTH(TODAY()),
SUMIF(Bills3[Paid?], "&lt;&gt;Y", Bills3[Amount]), SUM(Bills3[Amount]))</f>
        <v>3304</v>
      </c>
      <c r="AG77" s="136" t="e">
        <f ca="1">IF(AND(
Table10[[#This Row],[fluctuation]]=MIN(INDEX(Table10[fluctuation], MATCH(TODAY(),Table10[dates], 0)):INDEX(Table10[fluctuation], MATCH(end_date,Table10[dates], 0))),
OR(ISNA(INDEX($AF$2:AF76, MATCH(Table10[[#This Row],[fluctuation]], $AF$2:AF76, 0))), ROW(AG77)=2)),
Table10[[#This Row],[fluctuation]],
NA())</f>
        <v>#N/A</v>
      </c>
    </row>
    <row r="78" spans="4:33" x14ac:dyDescent="0.25">
      <c r="D78" s="148"/>
      <c r="V78" s="129">
        <v>43846</v>
      </c>
      <c r="W78" s="1">
        <f>DAY(income_future[[#This Row],[dates]])</f>
        <v>16</v>
      </c>
      <c r="X78" s="130">
        <f ca="1">SUMIF(income_curr[mod( )], MOD(V78, 14), income_curr[income])</f>
        <v>0</v>
      </c>
      <c r="Z78" s="132" t="str">
        <f ca="1">IF(TEXT(Table10[[#This Row],[dates]], "ddd")="Mon", 999999999, "")</f>
        <v/>
      </c>
      <c r="AA78" s="132" t="str">
        <f ca="1">IF(TODAY()=Table10[[#This Row],[dates]], TEXT(DATE(2019, MONTH(Table10[[#This Row],[dates]]), 1), "mmm"), IFERROR(IF(MONTH(Table10[[#This Row],[dates]])&lt;&gt;MONTH(AC77), TEXT(DATE(2019, MONTH(Table10[[#This Row],[dates]]), 1), "mmm"), ""), ""))</f>
        <v/>
      </c>
      <c r="AB78" s="133">
        <f ca="1">DAY('Data Preparation'!$AC78)</f>
        <v>25</v>
      </c>
      <c r="AC78" s="134">
        <f t="shared" ca="1" si="2"/>
        <v>43855</v>
      </c>
      <c r="AD7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78" s="136">
        <f ca="1">IFERROR(
IF(MONTH(Table10[[#This Row],[dates]])&lt;&gt;MONTH($AC77), Table10[[#This Row],[delta $]]+AE77-SUM(Bills3[Amount]), N("deducts other bills at the end of each month")+
IF(Table10[[#This Row],[delta $]]&lt;&gt;0, Table10[[#This Row],[delta $]]+AE77,
AE77)),
"")</f>
        <v>4924</v>
      </c>
      <c r="AF78" s="136">
        <f ca="1">Table10[[#This Row],[sum per date]]-IF(MONTH(Table10[[#This Row],[dates]])=MONTH(TODAY()),
SUMIF(Bills3[Paid?], "&lt;&gt;Y", Bills3[Amount]), SUM(Bills3[Amount]))</f>
        <v>4304</v>
      </c>
      <c r="AG78" s="136" t="e">
        <f ca="1">IF(AND(
Table10[[#This Row],[fluctuation]]=MIN(INDEX(Table10[fluctuation], MATCH(TODAY(),Table10[dates], 0)):INDEX(Table10[fluctuation], MATCH(end_date,Table10[dates], 0))),
OR(ISNA(INDEX($AF$2:AF77, MATCH(Table10[[#This Row],[fluctuation]], $AF$2:AF77, 0))), ROW(AG78)=2)),
Table10[[#This Row],[fluctuation]],
NA())</f>
        <v>#N/A</v>
      </c>
    </row>
    <row r="79" spans="4:33" x14ac:dyDescent="0.25">
      <c r="D79" s="148"/>
      <c r="V79" s="129">
        <v>43847</v>
      </c>
      <c r="W79" s="1">
        <f>DAY(income_future[[#This Row],[dates]])</f>
        <v>17</v>
      </c>
      <c r="X79" s="130">
        <f ca="1">SUMIF(income_curr[mod( )], MOD(V79, 14), income_curr[income])</f>
        <v>0</v>
      </c>
      <c r="Z79" s="132" t="str">
        <f ca="1">IF(TEXT(Table10[[#This Row],[dates]], "ddd")="Mon", 999999999, "")</f>
        <v/>
      </c>
      <c r="AA79" s="132" t="str">
        <f ca="1">IF(TODAY()=Table10[[#This Row],[dates]], TEXT(DATE(2019, MONTH(Table10[[#This Row],[dates]]), 1), "mmm"), IFERROR(IF(MONTH(Table10[[#This Row],[dates]])&lt;&gt;MONTH(AC78), TEXT(DATE(2019, MONTH(Table10[[#This Row],[dates]]), 1), "mmm"), ""), ""))</f>
        <v/>
      </c>
      <c r="AB79" s="133">
        <f ca="1">DAY('Data Preparation'!$AC79)</f>
        <v>26</v>
      </c>
      <c r="AC79" s="134">
        <f t="shared" ca="1" si="2"/>
        <v>43856</v>
      </c>
      <c r="AD7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79" s="136">
        <f ca="1">IFERROR(
IF(MONTH(Table10[[#This Row],[dates]])&lt;&gt;MONTH($AC78), Table10[[#This Row],[delta $]]+AE78-SUM(Bills3[Amount]), N("deducts other bills at the end of each month")+
IF(Table10[[#This Row],[delta $]]&lt;&gt;0, Table10[[#This Row],[delta $]]+AE78,
AE78)),
"")</f>
        <v>4924</v>
      </c>
      <c r="AF79" s="136">
        <f ca="1">Table10[[#This Row],[sum per date]]-IF(MONTH(Table10[[#This Row],[dates]])=MONTH(TODAY()),
SUMIF(Bills3[Paid?], "&lt;&gt;Y", Bills3[Amount]), SUM(Bills3[Amount]))</f>
        <v>4304</v>
      </c>
      <c r="AG79" s="136" t="e">
        <f ca="1">IF(AND(
Table10[[#This Row],[fluctuation]]=MIN(INDEX(Table10[fluctuation], MATCH(TODAY(),Table10[dates], 0)):INDEX(Table10[fluctuation], MATCH(end_date,Table10[dates], 0))),
OR(ISNA(INDEX($AF$2:AF78, MATCH(Table10[[#This Row],[fluctuation]], $AF$2:AF78, 0))), ROW(AG79)=2)),
Table10[[#This Row],[fluctuation]],
NA())</f>
        <v>#N/A</v>
      </c>
    </row>
    <row r="80" spans="4:33" x14ac:dyDescent="0.25">
      <c r="D80" s="148"/>
      <c r="V80" s="129">
        <v>43848</v>
      </c>
      <c r="W80" s="1">
        <f>DAY(income_future[[#This Row],[dates]])</f>
        <v>18</v>
      </c>
      <c r="X80" s="130">
        <f ca="1">SUMIF(income_curr[mod( )], MOD(V80, 14), income_curr[income])</f>
        <v>0</v>
      </c>
      <c r="Z80" s="132">
        <f ca="1">IF(TEXT(Table10[[#This Row],[dates]], "ddd")="Mon", 999999999, "")</f>
        <v>999999999</v>
      </c>
      <c r="AA80" s="132" t="str">
        <f ca="1">IF(TODAY()=Table10[[#This Row],[dates]], TEXT(DATE(2019, MONTH(Table10[[#This Row],[dates]]), 1), "mmm"), IFERROR(IF(MONTH(Table10[[#This Row],[dates]])&lt;&gt;MONTH(AC79), TEXT(DATE(2019, MONTH(Table10[[#This Row],[dates]]), 1), "mmm"), ""), ""))</f>
        <v/>
      </c>
      <c r="AB80" s="133">
        <f ca="1">DAY('Data Preparation'!$AC80)</f>
        <v>27</v>
      </c>
      <c r="AC80" s="134">
        <f t="shared" ca="1" si="2"/>
        <v>43857</v>
      </c>
      <c r="AD8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0" s="136">
        <f ca="1">IFERROR(
IF(MONTH(Table10[[#This Row],[dates]])&lt;&gt;MONTH($AC79), Table10[[#This Row],[delta $]]+AE79-SUM(Bills3[Amount]), N("deducts other bills at the end of each month")+
IF(Table10[[#This Row],[delta $]]&lt;&gt;0, Table10[[#This Row],[delta $]]+AE79,
AE79)),
"")</f>
        <v>4924</v>
      </c>
      <c r="AF80" s="136">
        <f ca="1">Table10[[#This Row],[sum per date]]-IF(MONTH(Table10[[#This Row],[dates]])=MONTH(TODAY()),
SUMIF(Bills3[Paid?], "&lt;&gt;Y", Bills3[Amount]), SUM(Bills3[Amount]))</f>
        <v>4304</v>
      </c>
      <c r="AG80" s="136" t="e">
        <f ca="1">IF(AND(
Table10[[#This Row],[fluctuation]]=MIN(INDEX(Table10[fluctuation], MATCH(TODAY(),Table10[dates], 0)):INDEX(Table10[fluctuation], MATCH(end_date,Table10[dates], 0))),
OR(ISNA(INDEX($AF$2:AF79, MATCH(Table10[[#This Row],[fluctuation]], $AF$2:AF79, 0))), ROW(AG80)=2)),
Table10[[#This Row],[fluctuation]],
NA())</f>
        <v>#N/A</v>
      </c>
    </row>
    <row r="81" spans="4:33" x14ac:dyDescent="0.25">
      <c r="D81" s="148"/>
      <c r="V81" s="129">
        <v>43849</v>
      </c>
      <c r="W81" s="1">
        <f>DAY(income_future[[#This Row],[dates]])</f>
        <v>19</v>
      </c>
      <c r="X81" s="130">
        <f ca="1">SUMIF(income_curr[mod( )], MOD(V81, 14), income_curr[income])</f>
        <v>0</v>
      </c>
      <c r="Z81" s="132" t="str">
        <f ca="1">IF(TEXT(Table10[[#This Row],[dates]], "ddd")="Mon", 999999999, "")</f>
        <v/>
      </c>
      <c r="AA81" s="132" t="str">
        <f ca="1">IF(TODAY()=Table10[[#This Row],[dates]], TEXT(DATE(2019, MONTH(Table10[[#This Row],[dates]]), 1), "mmm"), IFERROR(IF(MONTH(Table10[[#This Row],[dates]])&lt;&gt;MONTH(AC80), TEXT(DATE(2019, MONTH(Table10[[#This Row],[dates]]), 1), "mmm"), ""), ""))</f>
        <v/>
      </c>
      <c r="AB81" s="133">
        <f ca="1">DAY('Data Preparation'!$AC81)</f>
        <v>28</v>
      </c>
      <c r="AC81" s="134">
        <f t="shared" ca="1" si="2"/>
        <v>43858</v>
      </c>
      <c r="AD8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1" s="136">
        <f ca="1">IFERROR(
IF(MONTH(Table10[[#This Row],[dates]])&lt;&gt;MONTH($AC80), Table10[[#This Row],[delta $]]+AE80-SUM(Bills3[Amount]), N("deducts other bills at the end of each month")+
IF(Table10[[#This Row],[delta $]]&lt;&gt;0, Table10[[#This Row],[delta $]]+AE80,
AE80)),
"")</f>
        <v>4924</v>
      </c>
      <c r="AF81" s="136">
        <f ca="1">Table10[[#This Row],[sum per date]]-IF(MONTH(Table10[[#This Row],[dates]])=MONTH(TODAY()),
SUMIF(Bills3[Paid?], "&lt;&gt;Y", Bills3[Amount]), SUM(Bills3[Amount]))</f>
        <v>4304</v>
      </c>
      <c r="AG81" s="136" t="e">
        <f ca="1">IF(AND(
Table10[[#This Row],[fluctuation]]=MIN(INDEX(Table10[fluctuation], MATCH(TODAY(),Table10[dates], 0)):INDEX(Table10[fluctuation], MATCH(end_date,Table10[dates], 0))),
OR(ISNA(INDEX($AF$2:AF80, MATCH(Table10[[#This Row],[fluctuation]], $AF$2:AF80, 0))), ROW(AG81)=2)),
Table10[[#This Row],[fluctuation]],
NA())</f>
        <v>#N/A</v>
      </c>
    </row>
    <row r="82" spans="4:33" x14ac:dyDescent="0.25">
      <c r="D82" s="148"/>
      <c r="V82" s="129">
        <v>43850</v>
      </c>
      <c r="W82" s="1">
        <f>DAY(income_future[[#This Row],[dates]])</f>
        <v>20</v>
      </c>
      <c r="X82" s="130">
        <f ca="1">SUMIF(income_curr[mod( )], MOD(V82, 14), income_curr[income])</f>
        <v>0</v>
      </c>
      <c r="Z82" s="132" t="str">
        <f ca="1">IF(TEXT(Table10[[#This Row],[dates]], "ddd")="Mon", 999999999, "")</f>
        <v/>
      </c>
      <c r="AA82" s="132" t="str">
        <f ca="1">IF(TODAY()=Table10[[#This Row],[dates]], TEXT(DATE(2019, MONTH(Table10[[#This Row],[dates]]), 1), "mmm"), IFERROR(IF(MONTH(Table10[[#This Row],[dates]])&lt;&gt;MONTH(AC81), TEXT(DATE(2019, MONTH(Table10[[#This Row],[dates]]), 1), "mmm"), ""), ""))</f>
        <v/>
      </c>
      <c r="AB82" s="133">
        <f ca="1">DAY('Data Preparation'!$AC82)</f>
        <v>29</v>
      </c>
      <c r="AC82" s="134">
        <f t="shared" ca="1" si="2"/>
        <v>43859</v>
      </c>
      <c r="AD8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2" s="136">
        <f ca="1">IFERROR(
IF(MONTH(Table10[[#This Row],[dates]])&lt;&gt;MONTH($AC81), Table10[[#This Row],[delta $]]+AE81-SUM(Bills3[Amount]), N("deducts other bills at the end of each month")+
IF(Table10[[#This Row],[delta $]]&lt;&gt;0, Table10[[#This Row],[delta $]]+AE81,
AE81)),
"")</f>
        <v>4924</v>
      </c>
      <c r="AF82" s="136">
        <f ca="1">Table10[[#This Row],[sum per date]]-IF(MONTH(Table10[[#This Row],[dates]])=MONTH(TODAY()),
SUMIF(Bills3[Paid?], "&lt;&gt;Y", Bills3[Amount]), SUM(Bills3[Amount]))</f>
        <v>4304</v>
      </c>
      <c r="AG82" s="136" t="e">
        <f ca="1">IF(AND(
Table10[[#This Row],[fluctuation]]=MIN(INDEX(Table10[fluctuation], MATCH(TODAY(),Table10[dates], 0)):INDEX(Table10[fluctuation], MATCH(end_date,Table10[dates], 0))),
OR(ISNA(INDEX($AF$2:AF81, MATCH(Table10[[#This Row],[fluctuation]], $AF$2:AF81, 0))), ROW(AG82)=2)),
Table10[[#This Row],[fluctuation]],
NA())</f>
        <v>#N/A</v>
      </c>
    </row>
    <row r="83" spans="4:33" x14ac:dyDescent="0.25">
      <c r="D83" s="148"/>
      <c r="V83" s="129">
        <v>43851</v>
      </c>
      <c r="W83" s="1">
        <f>DAY(income_future[[#This Row],[dates]])</f>
        <v>21</v>
      </c>
      <c r="X83" s="130">
        <f ca="1">SUMIF(income_curr[mod( )], MOD(V83, 14), income_curr[income])</f>
        <v>0</v>
      </c>
      <c r="Z83" s="132" t="str">
        <f ca="1">IF(TEXT(Table10[[#This Row],[dates]], "ddd")="Mon", 999999999, "")</f>
        <v/>
      </c>
      <c r="AA83" s="132" t="str">
        <f ca="1">IF(TODAY()=Table10[[#This Row],[dates]], TEXT(DATE(2019, MONTH(Table10[[#This Row],[dates]]), 1), "mmm"), IFERROR(IF(MONTH(Table10[[#This Row],[dates]])&lt;&gt;MONTH(AC82), TEXT(DATE(2019, MONTH(Table10[[#This Row],[dates]]), 1), "mmm"), ""), ""))</f>
        <v/>
      </c>
      <c r="AB83" s="133">
        <f ca="1">DAY('Data Preparation'!$AC83)</f>
        <v>30</v>
      </c>
      <c r="AC83" s="134">
        <f t="shared" ca="1" si="2"/>
        <v>43860</v>
      </c>
      <c r="AD8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3" s="136">
        <f ca="1">IFERROR(
IF(MONTH(Table10[[#This Row],[dates]])&lt;&gt;MONTH($AC82), Table10[[#This Row],[delta $]]+AE82-SUM(Bills3[Amount]), N("deducts other bills at the end of each month")+
IF(Table10[[#This Row],[delta $]]&lt;&gt;0, Table10[[#This Row],[delta $]]+AE82,
AE82)),
"")</f>
        <v>4924</v>
      </c>
      <c r="AF83" s="136">
        <f ca="1">Table10[[#This Row],[sum per date]]-IF(MONTH(Table10[[#This Row],[dates]])=MONTH(TODAY()),
SUMIF(Bills3[Paid?], "&lt;&gt;Y", Bills3[Amount]), SUM(Bills3[Amount]))</f>
        <v>4304</v>
      </c>
      <c r="AG83" s="136" t="e">
        <f ca="1">IF(AND(
Table10[[#This Row],[fluctuation]]=MIN(INDEX(Table10[fluctuation], MATCH(TODAY(),Table10[dates], 0)):INDEX(Table10[fluctuation], MATCH(end_date,Table10[dates], 0))),
OR(ISNA(INDEX($AF$2:AF82, MATCH(Table10[[#This Row],[fluctuation]], $AF$2:AF82, 0))), ROW(AG83)=2)),
Table10[[#This Row],[fluctuation]],
NA())</f>
        <v>#N/A</v>
      </c>
    </row>
    <row r="84" spans="4:33" x14ac:dyDescent="0.25">
      <c r="D84" s="148"/>
      <c r="V84" s="129">
        <v>43852</v>
      </c>
      <c r="W84" s="1">
        <f>DAY(income_future[[#This Row],[dates]])</f>
        <v>22</v>
      </c>
      <c r="X84" s="130">
        <f ca="1">SUMIF(income_curr[mod( )], MOD(V84, 14), income_curr[income])</f>
        <v>0</v>
      </c>
      <c r="Z84" s="132" t="str">
        <f ca="1">IF(TEXT(Table10[[#This Row],[dates]], "ddd")="Mon", 999999999, "")</f>
        <v/>
      </c>
      <c r="AA84" s="132" t="str">
        <f ca="1">IF(TODAY()=Table10[[#This Row],[dates]], TEXT(DATE(2019, MONTH(Table10[[#This Row],[dates]]), 1), "mmm"), IFERROR(IF(MONTH(Table10[[#This Row],[dates]])&lt;&gt;MONTH(AC83), TEXT(DATE(2019, MONTH(Table10[[#This Row],[dates]]), 1), "mmm"), ""), ""))</f>
        <v/>
      </c>
      <c r="AB84" s="133">
        <f ca="1">DAY('Data Preparation'!$AC84)</f>
        <v>31</v>
      </c>
      <c r="AC84" s="134">
        <f t="shared" ca="1" si="2"/>
        <v>43861</v>
      </c>
      <c r="AD8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4" s="136">
        <f ca="1">IFERROR(
IF(MONTH(Table10[[#This Row],[dates]])&lt;&gt;MONTH($AC83), Table10[[#This Row],[delta $]]+AE83-SUM(Bills3[Amount]), N("deducts other bills at the end of each month")+
IF(Table10[[#This Row],[delta $]]&lt;&gt;0, Table10[[#This Row],[delta $]]+AE83,
AE83)),
"")</f>
        <v>4924</v>
      </c>
      <c r="AF84" s="136">
        <f ca="1">Table10[[#This Row],[sum per date]]-IF(MONTH(Table10[[#This Row],[dates]])=MONTH(TODAY()),
SUMIF(Bills3[Paid?], "&lt;&gt;Y", Bills3[Amount]), SUM(Bills3[Amount]))</f>
        <v>4304</v>
      </c>
      <c r="AG84" s="136" t="e">
        <f ca="1">IF(AND(
Table10[[#This Row],[fluctuation]]=MIN(INDEX(Table10[fluctuation], MATCH(TODAY(),Table10[dates], 0)):INDEX(Table10[fluctuation], MATCH(end_date,Table10[dates], 0))),
OR(ISNA(INDEX($AF$2:AF83, MATCH(Table10[[#This Row],[fluctuation]], $AF$2:AF83, 0))), ROW(AG84)=2)),
Table10[[#This Row],[fluctuation]],
NA())</f>
        <v>#N/A</v>
      </c>
    </row>
    <row r="85" spans="4:33" x14ac:dyDescent="0.25">
      <c r="D85" s="148"/>
      <c r="V85" s="129">
        <v>43853</v>
      </c>
      <c r="W85" s="1">
        <f>DAY(income_future[[#This Row],[dates]])</f>
        <v>23</v>
      </c>
      <c r="X85" s="130">
        <f ca="1">SUMIF(income_curr[mod( )], MOD(V85, 14), income_curr[income])</f>
        <v>0</v>
      </c>
      <c r="Z85" s="132" t="str">
        <f ca="1">IF(TEXT(Table10[[#This Row],[dates]], "ddd")="Mon", 999999999, "")</f>
        <v/>
      </c>
      <c r="AA85" s="132" t="str">
        <f ca="1">IF(TODAY()=Table10[[#This Row],[dates]], TEXT(DATE(2019, MONTH(Table10[[#This Row],[dates]]), 1), "mmm"), IFERROR(IF(MONTH(Table10[[#This Row],[dates]])&lt;&gt;MONTH(AC84), TEXT(DATE(2019, MONTH(Table10[[#This Row],[dates]]), 1), "mmm"), ""), ""))</f>
        <v>Feb</v>
      </c>
      <c r="AB85" s="133">
        <f ca="1">DAY('Data Preparation'!$AC85)</f>
        <v>1</v>
      </c>
      <c r="AC85" s="134">
        <f t="shared" ca="1" si="2"/>
        <v>43862</v>
      </c>
      <c r="AD8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85" s="136">
        <f ca="1">IFERROR(
IF(MONTH(Table10[[#This Row],[dates]])&lt;&gt;MONTH($AC84), Table10[[#This Row],[delta $]]+AE84-SUM(Bills3[Amount]), N("deducts other bills at the end of each month")+
IF(Table10[[#This Row],[delta $]]&lt;&gt;0, Table10[[#This Row],[delta $]]+AE84,
AE84)),
"")</f>
        <v>3704</v>
      </c>
      <c r="AF85" s="136">
        <f ca="1">Table10[[#This Row],[sum per date]]-IF(MONTH(Table10[[#This Row],[dates]])=MONTH(TODAY()),
SUMIF(Bills3[Paid?], "&lt;&gt;Y", Bills3[Amount]), SUM(Bills3[Amount]))</f>
        <v>3084</v>
      </c>
      <c r="AG85" s="136" t="e">
        <f ca="1">IF(AND(
Table10[[#This Row],[fluctuation]]=MIN(INDEX(Table10[fluctuation], MATCH(TODAY(),Table10[dates], 0)):INDEX(Table10[fluctuation], MATCH(end_date,Table10[dates], 0))),
OR(ISNA(INDEX($AF$2:AF84, MATCH(Table10[[#This Row],[fluctuation]], $AF$2:AF84, 0))), ROW(AG85)=2)),
Table10[[#This Row],[fluctuation]],
NA())</f>
        <v>#N/A</v>
      </c>
    </row>
    <row r="86" spans="4:33" x14ac:dyDescent="0.25">
      <c r="V86" s="129">
        <v>43854</v>
      </c>
      <c r="W86" s="1">
        <f>DAY(income_future[[#This Row],[dates]])</f>
        <v>24</v>
      </c>
      <c r="X86" s="130">
        <f ca="1">SUMIF(income_curr[mod( )], MOD(V86, 14), income_curr[income])</f>
        <v>0</v>
      </c>
      <c r="Z86" s="132" t="str">
        <f ca="1">IF(TEXT(Table10[[#This Row],[dates]], "ddd")="Mon", 999999999, "")</f>
        <v/>
      </c>
      <c r="AA86" s="132" t="str">
        <f ca="1">IF(TODAY()=Table10[[#This Row],[dates]], TEXT(DATE(2019, MONTH(Table10[[#This Row],[dates]]), 1), "mmm"), IFERROR(IF(MONTH(Table10[[#This Row],[dates]])&lt;&gt;MONTH(AC85), TEXT(DATE(2019, MONTH(Table10[[#This Row],[dates]]), 1), "mmm"), ""), ""))</f>
        <v/>
      </c>
      <c r="AB86" s="133">
        <f ca="1">DAY('Data Preparation'!$AC86)</f>
        <v>2</v>
      </c>
      <c r="AC86" s="134">
        <f t="shared" ca="1" si="2"/>
        <v>43863</v>
      </c>
      <c r="AD8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6" s="136">
        <f ca="1">IFERROR(
IF(MONTH(Table10[[#This Row],[dates]])&lt;&gt;MONTH($AC85), Table10[[#This Row],[delta $]]+AE85-SUM(Bills3[Amount]), N("deducts other bills at the end of each month")+
IF(Table10[[#This Row],[delta $]]&lt;&gt;0, Table10[[#This Row],[delta $]]+AE85,
AE85)),
"")</f>
        <v>3704</v>
      </c>
      <c r="AF86" s="136">
        <f ca="1">Table10[[#This Row],[sum per date]]-IF(MONTH(Table10[[#This Row],[dates]])=MONTH(TODAY()),
SUMIF(Bills3[Paid?], "&lt;&gt;Y", Bills3[Amount]), SUM(Bills3[Amount]))</f>
        <v>3084</v>
      </c>
      <c r="AG86" s="136" t="e">
        <f ca="1">IF(AND(
Table10[[#This Row],[fluctuation]]=MIN(INDEX(Table10[fluctuation], MATCH(TODAY(),Table10[dates], 0)):INDEX(Table10[fluctuation], MATCH(end_date,Table10[dates], 0))),
OR(ISNA(INDEX($AF$2:AF85, MATCH(Table10[[#This Row],[fluctuation]], $AF$2:AF85, 0))), ROW(AG86)=2)),
Table10[[#This Row],[fluctuation]],
NA())</f>
        <v>#N/A</v>
      </c>
    </row>
    <row r="87" spans="4:33" x14ac:dyDescent="0.25">
      <c r="V87" s="129">
        <v>43855</v>
      </c>
      <c r="W87" s="1">
        <f>DAY(income_future[[#This Row],[dates]])</f>
        <v>25</v>
      </c>
      <c r="X87" s="130">
        <f ca="1">SUMIF(income_curr[mod( )], MOD(V87, 14), income_curr[income])</f>
        <v>1000</v>
      </c>
      <c r="Z87" s="132">
        <f ca="1">IF(TEXT(Table10[[#This Row],[dates]], "ddd")="Mon", 999999999, "")</f>
        <v>999999999</v>
      </c>
      <c r="AA87" s="132" t="str">
        <f ca="1">IF(TODAY()=Table10[[#This Row],[dates]], TEXT(DATE(2019, MONTH(Table10[[#This Row],[dates]]), 1), "mmm"), IFERROR(IF(MONTH(Table10[[#This Row],[dates]])&lt;&gt;MONTH(AC86), TEXT(DATE(2019, MONTH(Table10[[#This Row],[dates]]), 1), "mmm"), ""), ""))</f>
        <v/>
      </c>
      <c r="AB87" s="133">
        <f ca="1">DAY('Data Preparation'!$AC87)</f>
        <v>3</v>
      </c>
      <c r="AC87" s="134">
        <f t="shared" ca="1" si="2"/>
        <v>43864</v>
      </c>
      <c r="AD8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7" s="136">
        <f ca="1">IFERROR(
IF(MONTH(Table10[[#This Row],[dates]])&lt;&gt;MONTH($AC86), Table10[[#This Row],[delta $]]+AE86-SUM(Bills3[Amount]), N("deducts other bills at the end of each month")+
IF(Table10[[#This Row],[delta $]]&lt;&gt;0, Table10[[#This Row],[delta $]]+AE86,
AE86)),
"")</f>
        <v>3704</v>
      </c>
      <c r="AF87" s="136">
        <f ca="1">Table10[[#This Row],[sum per date]]-IF(MONTH(Table10[[#This Row],[dates]])=MONTH(TODAY()),
SUMIF(Bills3[Paid?], "&lt;&gt;Y", Bills3[Amount]), SUM(Bills3[Amount]))</f>
        <v>3084</v>
      </c>
      <c r="AG87" s="136" t="e">
        <f ca="1">IF(AND(
Table10[[#This Row],[fluctuation]]=MIN(INDEX(Table10[fluctuation], MATCH(TODAY(),Table10[dates], 0)):INDEX(Table10[fluctuation], MATCH(end_date,Table10[dates], 0))),
OR(ISNA(INDEX($AF$2:AF86, MATCH(Table10[[#This Row],[fluctuation]], $AF$2:AF86, 0))), ROW(AG87)=2)),
Table10[[#This Row],[fluctuation]],
NA())</f>
        <v>#N/A</v>
      </c>
    </row>
    <row r="88" spans="4:33" x14ac:dyDescent="0.25">
      <c r="V88" s="129">
        <v>43856</v>
      </c>
      <c r="W88" s="1">
        <f>DAY(income_future[[#This Row],[dates]])</f>
        <v>26</v>
      </c>
      <c r="X88" s="130">
        <f ca="1">SUMIF(income_curr[mod( )], MOD(V88, 14), income_curr[income])</f>
        <v>0</v>
      </c>
      <c r="Z88" s="132" t="str">
        <f ca="1">IF(TEXT(Table10[[#This Row],[dates]], "ddd")="Mon", 999999999, "")</f>
        <v/>
      </c>
      <c r="AA88" s="132" t="str">
        <f ca="1">IF(TODAY()=Table10[[#This Row],[dates]], TEXT(DATE(2019, MONTH(Table10[[#This Row],[dates]]), 1), "mmm"), IFERROR(IF(MONTH(Table10[[#This Row],[dates]])&lt;&gt;MONTH(AC87), TEXT(DATE(2019, MONTH(Table10[[#This Row],[dates]]), 1), "mmm"), ""), ""))</f>
        <v/>
      </c>
      <c r="AB88" s="133">
        <f ca="1">DAY('Data Preparation'!$AC88)</f>
        <v>4</v>
      </c>
      <c r="AC88" s="134">
        <f t="shared" ca="1" si="2"/>
        <v>43865</v>
      </c>
      <c r="AD8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8" s="136">
        <f ca="1">IFERROR(
IF(MONTH(Table10[[#This Row],[dates]])&lt;&gt;MONTH($AC87), Table10[[#This Row],[delta $]]+AE87-SUM(Bills3[Amount]), N("deducts other bills at the end of each month")+
IF(Table10[[#This Row],[delta $]]&lt;&gt;0, Table10[[#This Row],[delta $]]+AE87,
AE87)),
"")</f>
        <v>3704</v>
      </c>
      <c r="AF88" s="136">
        <f ca="1">Table10[[#This Row],[sum per date]]-IF(MONTH(Table10[[#This Row],[dates]])=MONTH(TODAY()),
SUMIF(Bills3[Paid?], "&lt;&gt;Y", Bills3[Amount]), SUM(Bills3[Amount]))</f>
        <v>3084</v>
      </c>
      <c r="AG88" s="136" t="e">
        <f ca="1">IF(AND(
Table10[[#This Row],[fluctuation]]=MIN(INDEX(Table10[fluctuation], MATCH(TODAY(),Table10[dates], 0)):INDEX(Table10[fluctuation], MATCH(end_date,Table10[dates], 0))),
OR(ISNA(INDEX($AF$2:AF87, MATCH(Table10[[#This Row],[fluctuation]], $AF$2:AF87, 0))), ROW(AG88)=2)),
Table10[[#This Row],[fluctuation]],
NA())</f>
        <v>#N/A</v>
      </c>
    </row>
    <row r="89" spans="4:33" x14ac:dyDescent="0.25">
      <c r="V89" s="129">
        <v>43857</v>
      </c>
      <c r="W89" s="1">
        <f>DAY(income_future[[#This Row],[dates]])</f>
        <v>27</v>
      </c>
      <c r="X89" s="130">
        <f ca="1">SUMIF(income_curr[mod( )], MOD(V89, 14), income_curr[income])</f>
        <v>0</v>
      </c>
      <c r="Z89" s="132" t="str">
        <f ca="1">IF(TEXT(Table10[[#This Row],[dates]], "ddd")="Mon", 999999999, "")</f>
        <v/>
      </c>
      <c r="AA89" s="132" t="str">
        <f ca="1">IF(TODAY()=Table10[[#This Row],[dates]], TEXT(DATE(2019, MONTH(Table10[[#This Row],[dates]]), 1), "mmm"), IFERROR(IF(MONTH(Table10[[#This Row],[dates]])&lt;&gt;MONTH(AC88), TEXT(DATE(2019, MONTH(Table10[[#This Row],[dates]]), 1), "mmm"), ""), ""))</f>
        <v/>
      </c>
      <c r="AB89" s="133">
        <f ca="1">DAY('Data Preparation'!$AC89)</f>
        <v>5</v>
      </c>
      <c r="AC89" s="134">
        <f t="shared" ca="1" si="2"/>
        <v>43866</v>
      </c>
      <c r="AD8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89" s="136">
        <f ca="1">IFERROR(
IF(MONTH(Table10[[#This Row],[dates]])&lt;&gt;MONTH($AC88), Table10[[#This Row],[delta $]]+AE88-SUM(Bills3[Amount]), N("deducts other bills at the end of each month")+
IF(Table10[[#This Row],[delta $]]&lt;&gt;0, Table10[[#This Row],[delta $]]+AE88,
AE88)),
"")</f>
        <v>3704</v>
      </c>
      <c r="AF89" s="136">
        <f ca="1">Table10[[#This Row],[sum per date]]-IF(MONTH(Table10[[#This Row],[dates]])=MONTH(TODAY()),
SUMIF(Bills3[Paid?], "&lt;&gt;Y", Bills3[Amount]), SUM(Bills3[Amount]))</f>
        <v>3084</v>
      </c>
      <c r="AG89" s="136" t="e">
        <f ca="1">IF(AND(
Table10[[#This Row],[fluctuation]]=MIN(INDEX(Table10[fluctuation], MATCH(TODAY(),Table10[dates], 0)):INDEX(Table10[fluctuation], MATCH(end_date,Table10[dates], 0))),
OR(ISNA(INDEX($AF$2:AF88, MATCH(Table10[[#This Row],[fluctuation]], $AF$2:AF88, 0))), ROW(AG89)=2)),
Table10[[#This Row],[fluctuation]],
NA())</f>
        <v>#N/A</v>
      </c>
    </row>
    <row r="90" spans="4:33" x14ac:dyDescent="0.25">
      <c r="V90" s="129">
        <v>43858</v>
      </c>
      <c r="W90" s="1">
        <f>DAY(income_future[[#This Row],[dates]])</f>
        <v>28</v>
      </c>
      <c r="X90" s="130">
        <f ca="1">SUMIF(income_curr[mod( )], MOD(V90, 14), income_curr[income])</f>
        <v>0</v>
      </c>
      <c r="Z90" s="132" t="str">
        <f ca="1">IF(TEXT(Table10[[#This Row],[dates]], "ddd")="Mon", 999999999, "")</f>
        <v/>
      </c>
      <c r="AA90" s="132" t="str">
        <f ca="1">IF(TODAY()=Table10[[#This Row],[dates]], TEXT(DATE(2019, MONTH(Table10[[#This Row],[dates]]), 1), "mmm"), IFERROR(IF(MONTH(Table10[[#This Row],[dates]])&lt;&gt;MONTH(AC89), TEXT(DATE(2019, MONTH(Table10[[#This Row],[dates]]), 1), "mmm"), ""), ""))</f>
        <v/>
      </c>
      <c r="AB90" s="133">
        <f ca="1">DAY('Data Preparation'!$AC90)</f>
        <v>6</v>
      </c>
      <c r="AC90" s="134">
        <f t="shared" ca="1" si="2"/>
        <v>43867</v>
      </c>
      <c r="AD9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0" s="136">
        <f ca="1">IFERROR(
IF(MONTH(Table10[[#This Row],[dates]])&lt;&gt;MONTH($AC89), Table10[[#This Row],[delta $]]+AE89-SUM(Bills3[Amount]), N("deducts other bills at the end of each month")+
IF(Table10[[#This Row],[delta $]]&lt;&gt;0, Table10[[#This Row],[delta $]]+AE89,
AE89)),
"")</f>
        <v>3704</v>
      </c>
      <c r="AF90" s="136">
        <f ca="1">Table10[[#This Row],[sum per date]]-IF(MONTH(Table10[[#This Row],[dates]])=MONTH(TODAY()),
SUMIF(Bills3[Paid?], "&lt;&gt;Y", Bills3[Amount]), SUM(Bills3[Amount]))</f>
        <v>3084</v>
      </c>
      <c r="AG90" s="136" t="e">
        <f ca="1">IF(AND(
Table10[[#This Row],[fluctuation]]=MIN(INDEX(Table10[fluctuation], MATCH(TODAY(),Table10[dates], 0)):INDEX(Table10[fluctuation], MATCH(end_date,Table10[dates], 0))),
OR(ISNA(INDEX($AF$2:AF89, MATCH(Table10[[#This Row],[fluctuation]], $AF$2:AF89, 0))), ROW(AG90)=2)),
Table10[[#This Row],[fluctuation]],
NA())</f>
        <v>#N/A</v>
      </c>
    </row>
    <row r="91" spans="4:33" x14ac:dyDescent="0.25">
      <c r="V91" s="129">
        <v>43859</v>
      </c>
      <c r="W91" s="1">
        <f>DAY(income_future[[#This Row],[dates]])</f>
        <v>29</v>
      </c>
      <c r="X91" s="130">
        <f ca="1">SUMIF(income_curr[mod( )], MOD(V91, 14), income_curr[income])</f>
        <v>0</v>
      </c>
      <c r="Z91" s="132" t="str">
        <f ca="1">IF(TEXT(Table10[[#This Row],[dates]], "ddd")="Mon", 999999999, "")</f>
        <v/>
      </c>
      <c r="AA91" s="132" t="str">
        <f ca="1">IF(TODAY()=Table10[[#This Row],[dates]], TEXT(DATE(2019, MONTH(Table10[[#This Row],[dates]]), 1), "mmm"), IFERROR(IF(MONTH(Table10[[#This Row],[dates]])&lt;&gt;MONTH(AC90), TEXT(DATE(2019, MONTH(Table10[[#This Row],[dates]]), 1), "mmm"), ""), ""))</f>
        <v/>
      </c>
      <c r="AB91" s="133">
        <f ca="1">DAY('Data Preparation'!$AC91)</f>
        <v>7</v>
      </c>
      <c r="AC91" s="134">
        <f t="shared" ca="1" si="2"/>
        <v>43868</v>
      </c>
      <c r="AD9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1" s="136">
        <f ca="1">IFERROR(
IF(MONTH(Table10[[#This Row],[dates]])&lt;&gt;MONTH($AC90), Table10[[#This Row],[delta $]]+AE90-SUM(Bills3[Amount]), N("deducts other bills at the end of each month")+
IF(Table10[[#This Row],[delta $]]&lt;&gt;0, Table10[[#This Row],[delta $]]+AE90,
AE90)),
"")</f>
        <v>3704</v>
      </c>
      <c r="AF91" s="136">
        <f ca="1">Table10[[#This Row],[sum per date]]-IF(MONTH(Table10[[#This Row],[dates]])=MONTH(TODAY()),
SUMIF(Bills3[Paid?], "&lt;&gt;Y", Bills3[Amount]), SUM(Bills3[Amount]))</f>
        <v>3084</v>
      </c>
      <c r="AG91" s="136" t="e">
        <f ca="1">IF(AND(
Table10[[#This Row],[fluctuation]]=MIN(INDEX(Table10[fluctuation], MATCH(TODAY(),Table10[dates], 0)):INDEX(Table10[fluctuation], MATCH(end_date,Table10[dates], 0))),
OR(ISNA(INDEX($AF$2:AF90, MATCH(Table10[[#This Row],[fluctuation]], $AF$2:AF90, 0))), ROW(AG91)=2)),
Table10[[#This Row],[fluctuation]],
NA())</f>
        <v>#N/A</v>
      </c>
    </row>
    <row r="92" spans="4:33" x14ac:dyDescent="0.25">
      <c r="V92" s="129">
        <v>43860</v>
      </c>
      <c r="W92" s="1">
        <f>DAY(income_future[[#This Row],[dates]])</f>
        <v>30</v>
      </c>
      <c r="X92" s="130">
        <f ca="1">SUMIF(income_curr[mod( )], MOD(V92, 14), income_curr[income])</f>
        <v>0</v>
      </c>
      <c r="Z92" s="132" t="str">
        <f ca="1">IF(TEXT(Table10[[#This Row],[dates]], "ddd")="Mon", 999999999, "")</f>
        <v/>
      </c>
      <c r="AA92" s="132" t="str">
        <f ca="1">IF(TODAY()=Table10[[#This Row],[dates]], TEXT(DATE(2019, MONTH(Table10[[#This Row],[dates]]), 1), "mmm"), IFERROR(IF(MONTH(Table10[[#This Row],[dates]])&lt;&gt;MONTH(AC91), TEXT(DATE(2019, MONTH(Table10[[#This Row],[dates]]), 1), "mmm"), ""), ""))</f>
        <v/>
      </c>
      <c r="AB92" s="133">
        <f ca="1">DAY('Data Preparation'!$AC92)</f>
        <v>8</v>
      </c>
      <c r="AC92" s="134">
        <f t="shared" ca="1" si="2"/>
        <v>43869</v>
      </c>
      <c r="AD9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92" s="136">
        <f ca="1">IFERROR(
IF(MONTH(Table10[[#This Row],[dates]])&lt;&gt;MONTH($AC91), Table10[[#This Row],[delta $]]+AE91-SUM(Bills3[Amount]), N("deducts other bills at the end of each month")+
IF(Table10[[#This Row],[delta $]]&lt;&gt;0, Table10[[#This Row],[delta $]]+AE91,
AE91)),
"")</f>
        <v>4704</v>
      </c>
      <c r="AF92" s="136">
        <f ca="1">Table10[[#This Row],[sum per date]]-IF(MONTH(Table10[[#This Row],[dates]])=MONTH(TODAY()),
SUMIF(Bills3[Paid?], "&lt;&gt;Y", Bills3[Amount]), SUM(Bills3[Amount]))</f>
        <v>4084</v>
      </c>
      <c r="AG92" s="136" t="e">
        <f ca="1">IF(AND(
Table10[[#This Row],[fluctuation]]=MIN(INDEX(Table10[fluctuation], MATCH(TODAY(),Table10[dates], 0)):INDEX(Table10[fluctuation], MATCH(end_date,Table10[dates], 0))),
OR(ISNA(INDEX($AF$2:AF91, MATCH(Table10[[#This Row],[fluctuation]], $AF$2:AF91, 0))), ROW(AG92)=2)),
Table10[[#This Row],[fluctuation]],
NA())</f>
        <v>#N/A</v>
      </c>
    </row>
    <row r="93" spans="4:33" x14ac:dyDescent="0.25">
      <c r="V93" s="129">
        <v>43861</v>
      </c>
      <c r="W93" s="1">
        <f>DAY(income_future[[#This Row],[dates]])</f>
        <v>31</v>
      </c>
      <c r="X93" s="130">
        <f ca="1">SUMIF(income_curr[mod( )], MOD(V93, 14), income_curr[income])</f>
        <v>0</v>
      </c>
      <c r="Z93" s="132" t="str">
        <f ca="1">IF(TEXT(Table10[[#This Row],[dates]], "ddd")="Mon", 999999999, "")</f>
        <v/>
      </c>
      <c r="AA93" s="132" t="str">
        <f ca="1">IF(TODAY()=Table10[[#This Row],[dates]], TEXT(DATE(2019, MONTH(Table10[[#This Row],[dates]]), 1), "mmm"), IFERROR(IF(MONTH(Table10[[#This Row],[dates]])&lt;&gt;MONTH(AC92), TEXT(DATE(2019, MONTH(Table10[[#This Row],[dates]]), 1), "mmm"), ""), ""))</f>
        <v/>
      </c>
      <c r="AB93" s="133">
        <f ca="1">DAY('Data Preparation'!$AC93)</f>
        <v>9</v>
      </c>
      <c r="AC93" s="134">
        <f t="shared" ca="1" si="2"/>
        <v>43870</v>
      </c>
      <c r="AD9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3" s="136">
        <f ca="1">IFERROR(
IF(MONTH(Table10[[#This Row],[dates]])&lt;&gt;MONTH($AC92), Table10[[#This Row],[delta $]]+AE92-SUM(Bills3[Amount]), N("deducts other bills at the end of each month")+
IF(Table10[[#This Row],[delta $]]&lt;&gt;0, Table10[[#This Row],[delta $]]+AE92,
AE92)),
"")</f>
        <v>4704</v>
      </c>
      <c r="AF93" s="136">
        <f ca="1">Table10[[#This Row],[sum per date]]-IF(MONTH(Table10[[#This Row],[dates]])=MONTH(TODAY()),
SUMIF(Bills3[Paid?], "&lt;&gt;Y", Bills3[Amount]), SUM(Bills3[Amount]))</f>
        <v>4084</v>
      </c>
      <c r="AG93" s="136" t="e">
        <f ca="1">IF(AND(
Table10[[#This Row],[fluctuation]]=MIN(INDEX(Table10[fluctuation], MATCH(TODAY(),Table10[dates], 0)):INDEX(Table10[fluctuation], MATCH(end_date,Table10[dates], 0))),
OR(ISNA(INDEX($AF$2:AF92, MATCH(Table10[[#This Row],[fluctuation]], $AF$2:AF92, 0))), ROW(AG93)=2)),
Table10[[#This Row],[fluctuation]],
NA())</f>
        <v>#N/A</v>
      </c>
    </row>
    <row r="94" spans="4:33" x14ac:dyDescent="0.25">
      <c r="V94" s="129">
        <v>43862</v>
      </c>
      <c r="W94" s="1">
        <f>DAY(income_future[[#This Row],[dates]])</f>
        <v>1</v>
      </c>
      <c r="X94" s="130">
        <f ca="1">SUMIF(income_curr[mod( )], MOD(V94, 14), income_curr[income])</f>
        <v>0</v>
      </c>
      <c r="Z94" s="132">
        <f ca="1">IF(TEXT(Table10[[#This Row],[dates]], "ddd")="Mon", 999999999, "")</f>
        <v>999999999</v>
      </c>
      <c r="AA94" s="132" t="str">
        <f ca="1">IF(TODAY()=Table10[[#This Row],[dates]], TEXT(DATE(2019, MONTH(Table10[[#This Row],[dates]]), 1), "mmm"), IFERROR(IF(MONTH(Table10[[#This Row],[dates]])&lt;&gt;MONTH(AC93), TEXT(DATE(2019, MONTH(Table10[[#This Row],[dates]]), 1), "mmm"), ""), ""))</f>
        <v/>
      </c>
      <c r="AB94" s="133">
        <f ca="1">DAY('Data Preparation'!$AC94)</f>
        <v>10</v>
      </c>
      <c r="AC94" s="134">
        <f t="shared" ca="1" si="2"/>
        <v>43871</v>
      </c>
      <c r="AD9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4" s="136">
        <f ca="1">IFERROR(
IF(MONTH(Table10[[#This Row],[dates]])&lt;&gt;MONTH($AC93), Table10[[#This Row],[delta $]]+AE93-SUM(Bills3[Amount]), N("deducts other bills at the end of each month")+
IF(Table10[[#This Row],[delta $]]&lt;&gt;0, Table10[[#This Row],[delta $]]+AE93,
AE93)),
"")</f>
        <v>4704</v>
      </c>
      <c r="AF94" s="136">
        <f ca="1">Table10[[#This Row],[sum per date]]-IF(MONTH(Table10[[#This Row],[dates]])=MONTH(TODAY()),
SUMIF(Bills3[Paid?], "&lt;&gt;Y", Bills3[Amount]), SUM(Bills3[Amount]))</f>
        <v>4084</v>
      </c>
      <c r="AG94" s="136" t="e">
        <f ca="1">IF(AND(
Table10[[#This Row],[fluctuation]]=MIN(INDEX(Table10[fluctuation], MATCH(TODAY(),Table10[dates], 0)):INDEX(Table10[fluctuation], MATCH(end_date,Table10[dates], 0))),
OR(ISNA(INDEX($AF$2:AF93, MATCH(Table10[[#This Row],[fluctuation]], $AF$2:AF93, 0))), ROW(AG94)=2)),
Table10[[#This Row],[fluctuation]],
NA())</f>
        <v>#N/A</v>
      </c>
    </row>
    <row r="95" spans="4:33" x14ac:dyDescent="0.25">
      <c r="V95" s="129">
        <v>43863</v>
      </c>
      <c r="W95" s="1">
        <f>DAY(income_future[[#This Row],[dates]])</f>
        <v>2</v>
      </c>
      <c r="X95" s="130">
        <f ca="1">SUMIF(income_curr[mod( )], MOD(V95, 14), income_curr[income])</f>
        <v>0</v>
      </c>
      <c r="Z95" s="132" t="str">
        <f ca="1">IF(TEXT(Table10[[#This Row],[dates]], "ddd")="Mon", 999999999, "")</f>
        <v/>
      </c>
      <c r="AA95" s="132" t="str">
        <f ca="1">IF(TODAY()=Table10[[#This Row],[dates]], TEXT(DATE(2019, MONTH(Table10[[#This Row],[dates]]), 1), "mmm"), IFERROR(IF(MONTH(Table10[[#This Row],[dates]])&lt;&gt;MONTH(AC94), TEXT(DATE(2019, MONTH(Table10[[#This Row],[dates]]), 1), "mmm"), ""), ""))</f>
        <v/>
      </c>
      <c r="AB95" s="133">
        <f ca="1">DAY('Data Preparation'!$AC95)</f>
        <v>11</v>
      </c>
      <c r="AC95" s="134">
        <f t="shared" ca="1" si="2"/>
        <v>43872</v>
      </c>
      <c r="AD9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5" s="136">
        <f ca="1">IFERROR(
IF(MONTH(Table10[[#This Row],[dates]])&lt;&gt;MONTH($AC94), Table10[[#This Row],[delta $]]+AE94-SUM(Bills3[Amount]), N("deducts other bills at the end of each month")+
IF(Table10[[#This Row],[delta $]]&lt;&gt;0, Table10[[#This Row],[delta $]]+AE94,
AE94)),
"")</f>
        <v>4704</v>
      </c>
      <c r="AF95" s="136">
        <f ca="1">Table10[[#This Row],[sum per date]]-IF(MONTH(Table10[[#This Row],[dates]])=MONTH(TODAY()),
SUMIF(Bills3[Paid?], "&lt;&gt;Y", Bills3[Amount]), SUM(Bills3[Amount]))</f>
        <v>4084</v>
      </c>
      <c r="AG95" s="136" t="e">
        <f ca="1">IF(AND(
Table10[[#This Row],[fluctuation]]=MIN(INDEX(Table10[fluctuation], MATCH(TODAY(),Table10[dates], 0)):INDEX(Table10[fluctuation], MATCH(end_date,Table10[dates], 0))),
OR(ISNA(INDEX($AF$2:AF94, MATCH(Table10[[#This Row],[fluctuation]], $AF$2:AF94, 0))), ROW(AG95)=2)),
Table10[[#This Row],[fluctuation]],
NA())</f>
        <v>#N/A</v>
      </c>
    </row>
    <row r="96" spans="4:33" x14ac:dyDescent="0.25">
      <c r="V96" s="129">
        <v>43864</v>
      </c>
      <c r="W96" s="1">
        <f>DAY(income_future[[#This Row],[dates]])</f>
        <v>3</v>
      </c>
      <c r="X96" s="130">
        <f ca="1">SUMIF(income_curr[mod( )], MOD(V96, 14), income_curr[income])</f>
        <v>0</v>
      </c>
      <c r="Z96" s="132" t="str">
        <f ca="1">IF(TEXT(Table10[[#This Row],[dates]], "ddd")="Mon", 999999999, "")</f>
        <v/>
      </c>
      <c r="AA96" s="132" t="str">
        <f ca="1">IF(TODAY()=Table10[[#This Row],[dates]], TEXT(DATE(2019, MONTH(Table10[[#This Row],[dates]]), 1), "mmm"), IFERROR(IF(MONTH(Table10[[#This Row],[dates]])&lt;&gt;MONTH(AC95), TEXT(DATE(2019, MONTH(Table10[[#This Row],[dates]]), 1), "mmm"), ""), ""))</f>
        <v/>
      </c>
      <c r="AB96" s="133">
        <f ca="1">DAY('Data Preparation'!$AC96)</f>
        <v>12</v>
      </c>
      <c r="AC96" s="134">
        <f t="shared" ca="1" si="2"/>
        <v>43873</v>
      </c>
      <c r="AD9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6" s="136">
        <f ca="1">IFERROR(
IF(MONTH(Table10[[#This Row],[dates]])&lt;&gt;MONTH($AC95), Table10[[#This Row],[delta $]]+AE95-SUM(Bills3[Amount]), N("deducts other bills at the end of each month")+
IF(Table10[[#This Row],[delta $]]&lt;&gt;0, Table10[[#This Row],[delta $]]+AE95,
AE95)),
"")</f>
        <v>4704</v>
      </c>
      <c r="AF96" s="136">
        <f ca="1">Table10[[#This Row],[sum per date]]-IF(MONTH(Table10[[#This Row],[dates]])=MONTH(TODAY()),
SUMIF(Bills3[Paid?], "&lt;&gt;Y", Bills3[Amount]), SUM(Bills3[Amount]))</f>
        <v>4084</v>
      </c>
      <c r="AG96" s="136" t="e">
        <f ca="1">IF(AND(
Table10[[#This Row],[fluctuation]]=MIN(INDEX(Table10[fluctuation], MATCH(TODAY(),Table10[dates], 0)):INDEX(Table10[fluctuation], MATCH(end_date,Table10[dates], 0))),
OR(ISNA(INDEX($AF$2:AF95, MATCH(Table10[[#This Row],[fluctuation]], $AF$2:AF95, 0))), ROW(AG96)=2)),
Table10[[#This Row],[fluctuation]],
NA())</f>
        <v>#N/A</v>
      </c>
    </row>
    <row r="97" spans="22:33" x14ac:dyDescent="0.25">
      <c r="V97" s="129">
        <v>43865</v>
      </c>
      <c r="W97" s="1">
        <f>DAY(income_future[[#This Row],[dates]])</f>
        <v>4</v>
      </c>
      <c r="X97" s="130">
        <f ca="1">SUMIF(income_curr[mod( )], MOD(V97, 14), income_curr[income])</f>
        <v>0</v>
      </c>
      <c r="Z97" s="132" t="str">
        <f ca="1">IF(TEXT(Table10[[#This Row],[dates]], "ddd")="Mon", 999999999, "")</f>
        <v/>
      </c>
      <c r="AA97" s="132" t="str">
        <f ca="1">IF(TODAY()=Table10[[#This Row],[dates]], TEXT(DATE(2019, MONTH(Table10[[#This Row],[dates]]), 1), "mmm"), IFERROR(IF(MONTH(Table10[[#This Row],[dates]])&lt;&gt;MONTH(AC96), TEXT(DATE(2019, MONTH(Table10[[#This Row],[dates]]), 1), "mmm"), ""), ""))</f>
        <v/>
      </c>
      <c r="AB97" s="133">
        <f ca="1">DAY('Data Preparation'!$AC97)</f>
        <v>13</v>
      </c>
      <c r="AC97" s="134">
        <f t="shared" ca="1" si="2"/>
        <v>43874</v>
      </c>
      <c r="AD9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7" s="136">
        <f ca="1">IFERROR(
IF(MONTH(Table10[[#This Row],[dates]])&lt;&gt;MONTH($AC96), Table10[[#This Row],[delta $]]+AE96-SUM(Bills3[Amount]), N("deducts other bills at the end of each month")+
IF(Table10[[#This Row],[delta $]]&lt;&gt;0, Table10[[#This Row],[delta $]]+AE96,
AE96)),
"")</f>
        <v>4704</v>
      </c>
      <c r="AF97" s="136">
        <f ca="1">Table10[[#This Row],[sum per date]]-IF(MONTH(Table10[[#This Row],[dates]])=MONTH(TODAY()),
SUMIF(Bills3[Paid?], "&lt;&gt;Y", Bills3[Amount]), SUM(Bills3[Amount]))</f>
        <v>4084</v>
      </c>
      <c r="AG97" s="136" t="e">
        <f ca="1">IF(AND(
Table10[[#This Row],[fluctuation]]=MIN(INDEX(Table10[fluctuation], MATCH(TODAY(),Table10[dates], 0)):INDEX(Table10[fluctuation], MATCH(end_date,Table10[dates], 0))),
OR(ISNA(INDEX($AF$2:AF96, MATCH(Table10[[#This Row],[fluctuation]], $AF$2:AF96, 0))), ROW(AG97)=2)),
Table10[[#This Row],[fluctuation]],
NA())</f>
        <v>#N/A</v>
      </c>
    </row>
    <row r="98" spans="22:33" x14ac:dyDescent="0.25">
      <c r="V98" s="129">
        <v>43866</v>
      </c>
      <c r="W98" s="1">
        <f>DAY(income_future[[#This Row],[dates]])</f>
        <v>5</v>
      </c>
      <c r="X98" s="130">
        <f ca="1">SUMIF(income_curr[mod( )], MOD(V98, 14), income_curr[income])</f>
        <v>0</v>
      </c>
      <c r="Z98" s="132" t="str">
        <f ca="1">IF(TEXT(Table10[[#This Row],[dates]], "ddd")="Mon", 999999999, "")</f>
        <v/>
      </c>
      <c r="AA98" s="132" t="str">
        <f ca="1">IF(TODAY()=Table10[[#This Row],[dates]], TEXT(DATE(2019, MONTH(Table10[[#This Row],[dates]]), 1), "mmm"), IFERROR(IF(MONTH(Table10[[#This Row],[dates]])&lt;&gt;MONTH(AC97), TEXT(DATE(2019, MONTH(Table10[[#This Row],[dates]]), 1), "mmm"), ""), ""))</f>
        <v/>
      </c>
      <c r="AB98" s="133">
        <f ca="1">DAY('Data Preparation'!$AC98)</f>
        <v>14</v>
      </c>
      <c r="AC98" s="134">
        <f t="shared" ref="AC98:AC129" ca="1" si="3">TODAY()+(ROW(AB98)-ROW($AB$2))</f>
        <v>43875</v>
      </c>
      <c r="AD9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98" s="136">
        <f ca="1">IFERROR(
IF(MONTH(Table10[[#This Row],[dates]])&lt;&gt;MONTH($AC97), Table10[[#This Row],[delta $]]+AE97-SUM(Bills3[Amount]), N("deducts other bills at the end of each month")+
IF(Table10[[#This Row],[delta $]]&lt;&gt;0, Table10[[#This Row],[delta $]]+AE97,
AE97)),
"")</f>
        <v>4704</v>
      </c>
      <c r="AF98" s="136">
        <f ca="1">Table10[[#This Row],[sum per date]]-IF(MONTH(Table10[[#This Row],[dates]])=MONTH(TODAY()),
SUMIF(Bills3[Paid?], "&lt;&gt;Y", Bills3[Amount]), SUM(Bills3[Amount]))</f>
        <v>4084</v>
      </c>
      <c r="AG98" s="136" t="e">
        <f ca="1">IF(AND(
Table10[[#This Row],[fluctuation]]=MIN(INDEX(Table10[fluctuation], MATCH(TODAY(),Table10[dates], 0)):INDEX(Table10[fluctuation], MATCH(end_date,Table10[dates], 0))),
OR(ISNA(INDEX($AF$2:AF97, MATCH(Table10[[#This Row],[fluctuation]], $AF$2:AF97, 0))), ROW(AG98)=2)),
Table10[[#This Row],[fluctuation]],
NA())</f>
        <v>#N/A</v>
      </c>
    </row>
    <row r="99" spans="22:33" x14ac:dyDescent="0.25">
      <c r="V99" s="129">
        <v>43867</v>
      </c>
      <c r="W99" s="1">
        <f>DAY(income_future[[#This Row],[dates]])</f>
        <v>6</v>
      </c>
      <c r="X99" s="130">
        <f ca="1">SUMIF(income_curr[mod( )], MOD(V99, 14), income_curr[income])</f>
        <v>0</v>
      </c>
      <c r="Z99" s="132" t="str">
        <f ca="1">IF(TEXT(Table10[[#This Row],[dates]], "ddd")="Mon", 999999999, "")</f>
        <v/>
      </c>
      <c r="AA99" s="132" t="str">
        <f ca="1">IF(TODAY()=Table10[[#This Row],[dates]], TEXT(DATE(2019, MONTH(Table10[[#This Row],[dates]]), 1), "mmm"), IFERROR(IF(MONTH(Table10[[#This Row],[dates]])&lt;&gt;MONTH(AC98), TEXT(DATE(2019, MONTH(Table10[[#This Row],[dates]]), 1), "mmm"), ""), ""))</f>
        <v/>
      </c>
      <c r="AB99" s="133">
        <f ca="1">DAY('Data Preparation'!$AC99)</f>
        <v>15</v>
      </c>
      <c r="AC99" s="134">
        <f t="shared" ca="1" si="3"/>
        <v>43876</v>
      </c>
      <c r="AD9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99" s="136">
        <f ca="1">IFERROR(
IF(MONTH(Table10[[#This Row],[dates]])&lt;&gt;MONTH($AC98), Table10[[#This Row],[delta $]]+AE98-SUM(Bills3[Amount]), N("deducts other bills at the end of each month")+
IF(Table10[[#This Row],[delta $]]&lt;&gt;0, Table10[[#This Row],[delta $]]+AE98,
AE98)),
"")</f>
        <v>4492</v>
      </c>
      <c r="AF99" s="136">
        <f ca="1">Table10[[#This Row],[sum per date]]-IF(MONTH(Table10[[#This Row],[dates]])=MONTH(TODAY()),
SUMIF(Bills3[Paid?], "&lt;&gt;Y", Bills3[Amount]), SUM(Bills3[Amount]))</f>
        <v>3872</v>
      </c>
      <c r="AG99" s="136" t="e">
        <f ca="1">IF(AND(
Table10[[#This Row],[fluctuation]]=MIN(INDEX(Table10[fluctuation], MATCH(TODAY(),Table10[dates], 0)):INDEX(Table10[fluctuation], MATCH(end_date,Table10[dates], 0))),
OR(ISNA(INDEX($AF$2:AF98, MATCH(Table10[[#This Row],[fluctuation]], $AF$2:AF98, 0))), ROW(AG99)=2)),
Table10[[#This Row],[fluctuation]],
NA())</f>
        <v>#N/A</v>
      </c>
    </row>
    <row r="100" spans="22:33" x14ac:dyDescent="0.25">
      <c r="V100" s="129">
        <v>43868</v>
      </c>
      <c r="W100" s="1">
        <f>DAY(income_future[[#This Row],[dates]])</f>
        <v>7</v>
      </c>
      <c r="X100" s="130">
        <f ca="1">SUMIF(income_curr[mod( )], MOD(V100, 14), income_curr[income])</f>
        <v>0</v>
      </c>
      <c r="Z100" s="132" t="str">
        <f ca="1">IF(TEXT(Table10[[#This Row],[dates]], "ddd")="Mon", 999999999, "")</f>
        <v/>
      </c>
      <c r="AA100" s="132" t="str">
        <f ca="1">IF(TODAY()=Table10[[#This Row],[dates]], TEXT(DATE(2019, MONTH(Table10[[#This Row],[dates]]), 1), "mmm"), IFERROR(IF(MONTH(Table10[[#This Row],[dates]])&lt;&gt;MONTH(AC99), TEXT(DATE(2019, MONTH(Table10[[#This Row],[dates]]), 1), "mmm"), ""), ""))</f>
        <v/>
      </c>
      <c r="AB100" s="133">
        <f ca="1">DAY('Data Preparation'!$AC100)</f>
        <v>16</v>
      </c>
      <c r="AC100" s="134">
        <f t="shared" ca="1" si="3"/>
        <v>43877</v>
      </c>
      <c r="AD10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0" s="136">
        <f ca="1">IFERROR(
IF(MONTH(Table10[[#This Row],[dates]])&lt;&gt;MONTH($AC99), Table10[[#This Row],[delta $]]+AE99-SUM(Bills3[Amount]), N("deducts other bills at the end of each month")+
IF(Table10[[#This Row],[delta $]]&lt;&gt;0, Table10[[#This Row],[delta $]]+AE99,
AE99)),
"")</f>
        <v>4492</v>
      </c>
      <c r="AF100" s="136">
        <f ca="1">Table10[[#This Row],[sum per date]]-IF(MONTH(Table10[[#This Row],[dates]])=MONTH(TODAY()),
SUMIF(Bills3[Paid?], "&lt;&gt;Y", Bills3[Amount]), SUM(Bills3[Amount]))</f>
        <v>3872</v>
      </c>
      <c r="AG100" s="136" t="e">
        <f ca="1">IF(AND(
Table10[[#This Row],[fluctuation]]=MIN(INDEX(Table10[fluctuation], MATCH(TODAY(),Table10[dates], 0)):INDEX(Table10[fluctuation], MATCH(end_date,Table10[dates], 0))),
OR(ISNA(INDEX($AF$2:AF99, MATCH(Table10[[#This Row],[fluctuation]], $AF$2:AF99, 0))), ROW(AG100)=2)),
Table10[[#This Row],[fluctuation]],
NA())</f>
        <v>#N/A</v>
      </c>
    </row>
    <row r="101" spans="22:33" x14ac:dyDescent="0.25">
      <c r="V101" s="129">
        <v>43869</v>
      </c>
      <c r="W101" s="1">
        <f>DAY(income_future[[#This Row],[dates]])</f>
        <v>8</v>
      </c>
      <c r="X101" s="130">
        <f ca="1">SUMIF(income_curr[mod( )], MOD(V101, 14), income_curr[income])</f>
        <v>1000</v>
      </c>
      <c r="Z101" s="132">
        <f ca="1">IF(TEXT(Table10[[#This Row],[dates]], "ddd")="Mon", 999999999, "")</f>
        <v>999999999</v>
      </c>
      <c r="AA101" s="132" t="str">
        <f ca="1">IF(TODAY()=Table10[[#This Row],[dates]], TEXT(DATE(2019, MONTH(Table10[[#This Row],[dates]]), 1), "mmm"), IFERROR(IF(MONTH(Table10[[#This Row],[dates]])&lt;&gt;MONTH(AC100), TEXT(DATE(2019, MONTH(Table10[[#This Row],[dates]]), 1), "mmm"), ""), ""))</f>
        <v/>
      </c>
      <c r="AB101" s="133">
        <f ca="1">DAY('Data Preparation'!$AC101)</f>
        <v>17</v>
      </c>
      <c r="AC101" s="134">
        <f t="shared" ca="1" si="3"/>
        <v>43878</v>
      </c>
      <c r="AD10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1" s="136">
        <f ca="1">IFERROR(
IF(MONTH(Table10[[#This Row],[dates]])&lt;&gt;MONTH($AC100), Table10[[#This Row],[delta $]]+AE100-SUM(Bills3[Amount]), N("deducts other bills at the end of each month")+
IF(Table10[[#This Row],[delta $]]&lt;&gt;0, Table10[[#This Row],[delta $]]+AE100,
AE100)),
"")</f>
        <v>4492</v>
      </c>
      <c r="AF101" s="136">
        <f ca="1">Table10[[#This Row],[sum per date]]-IF(MONTH(Table10[[#This Row],[dates]])=MONTH(TODAY()),
SUMIF(Bills3[Paid?], "&lt;&gt;Y", Bills3[Amount]), SUM(Bills3[Amount]))</f>
        <v>3872</v>
      </c>
      <c r="AG101" s="136" t="e">
        <f ca="1">IF(AND(
Table10[[#This Row],[fluctuation]]=MIN(INDEX(Table10[fluctuation], MATCH(TODAY(),Table10[dates], 0)):INDEX(Table10[fluctuation], MATCH(end_date,Table10[dates], 0))),
OR(ISNA(INDEX($AF$2:AF100, MATCH(Table10[[#This Row],[fluctuation]], $AF$2:AF100, 0))), ROW(AG101)=2)),
Table10[[#This Row],[fluctuation]],
NA())</f>
        <v>#N/A</v>
      </c>
    </row>
    <row r="102" spans="22:33" x14ac:dyDescent="0.25">
      <c r="V102" s="129">
        <v>43870</v>
      </c>
      <c r="W102" s="1">
        <f>DAY(income_future[[#This Row],[dates]])</f>
        <v>9</v>
      </c>
      <c r="X102" s="130">
        <f ca="1">SUMIF(income_curr[mod( )], MOD(V102, 14), income_curr[income])</f>
        <v>0</v>
      </c>
      <c r="Z102" s="148" t="str">
        <f ca="1">IF(TEXT(Table10[[#This Row],[dates]], "ddd")="Mon", 999999999, "")</f>
        <v/>
      </c>
      <c r="AA102" s="148" t="str">
        <f ca="1">IF(TODAY()=Table10[[#This Row],[dates]], TEXT(DATE(2019, MONTH(Table10[[#This Row],[dates]]), 1), "mmm"), IFERROR(IF(MONTH(Table10[[#This Row],[dates]])&lt;&gt;MONTH(AC101), TEXT(DATE(2019, MONTH(Table10[[#This Row],[dates]]), 1), "mmm"), ""), ""))</f>
        <v/>
      </c>
      <c r="AB102" s="149">
        <f ca="1">DAY('Data Preparation'!$AC102)</f>
        <v>18</v>
      </c>
      <c r="AC102" s="150">
        <f t="shared" ca="1" si="3"/>
        <v>43879</v>
      </c>
      <c r="AD10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2" s="136">
        <f ca="1">IFERROR(
IF(MONTH(Table10[[#This Row],[dates]])&lt;&gt;MONTH($AC101), Table10[[#This Row],[delta $]]+AE101-SUM(Bills3[Amount]), N("deducts other bills at the end of each month")+
IF(Table10[[#This Row],[delta $]]&lt;&gt;0, Table10[[#This Row],[delta $]]+AE101,
AE101)),
"")</f>
        <v>4492</v>
      </c>
      <c r="AF102" s="151">
        <f ca="1">Table10[[#This Row],[sum per date]]-IF(MONTH(Table10[[#This Row],[dates]])=MONTH(TODAY()),
SUMIF(Bills3[Paid?], "&lt;&gt;Y", Bills3[Amount]), SUM(Bills3[Amount]))</f>
        <v>3872</v>
      </c>
      <c r="AG102" s="136" t="e">
        <f ca="1">IF(AND(
Table10[[#This Row],[fluctuation]]=MIN(INDEX(Table10[fluctuation], MATCH(TODAY(),Table10[dates], 0)):INDEX(Table10[fluctuation], MATCH(end_date,Table10[dates], 0))),
OR(ISNA(INDEX($AF$2:AF101, MATCH(Table10[[#This Row],[fluctuation]], $AF$2:AF101, 0))), ROW(AG102)=2)),
Table10[[#This Row],[fluctuation]],
NA())</f>
        <v>#N/A</v>
      </c>
    </row>
    <row r="103" spans="22:33" x14ac:dyDescent="0.25">
      <c r="V103" s="129">
        <v>43871</v>
      </c>
      <c r="W103" s="1">
        <f>DAY(income_future[[#This Row],[dates]])</f>
        <v>10</v>
      </c>
      <c r="X103" s="130">
        <f ca="1">SUMIF(income_curr[mod( )], MOD(V103, 14), income_curr[income])</f>
        <v>0</v>
      </c>
      <c r="Z103" s="148" t="str">
        <f ca="1">IF(TEXT(Table10[[#This Row],[dates]], "ddd")="Mon", 999999999, "")</f>
        <v/>
      </c>
      <c r="AA103" s="148" t="str">
        <f ca="1">IF(TODAY()=Table10[[#This Row],[dates]], TEXT(DATE(2019, MONTH(Table10[[#This Row],[dates]]), 1), "mmm"), IFERROR(IF(MONTH(Table10[[#This Row],[dates]])&lt;&gt;MONTH(AC102), TEXT(DATE(2019, MONTH(Table10[[#This Row],[dates]]), 1), "mmm"), ""), ""))</f>
        <v/>
      </c>
      <c r="AB103" s="149">
        <f ca="1">DAY('Data Preparation'!$AC103)</f>
        <v>19</v>
      </c>
      <c r="AC103" s="150">
        <f t="shared" ca="1" si="3"/>
        <v>43880</v>
      </c>
      <c r="AD10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3" s="136">
        <f ca="1">IFERROR(
IF(MONTH(Table10[[#This Row],[dates]])&lt;&gt;MONTH($AC102), Table10[[#This Row],[delta $]]+AE102-SUM(Bills3[Amount]), N("deducts other bills at the end of each month")+
IF(Table10[[#This Row],[delta $]]&lt;&gt;0, Table10[[#This Row],[delta $]]+AE102,
AE102)),
"")</f>
        <v>4492</v>
      </c>
      <c r="AF103" s="151">
        <f ca="1">Table10[[#This Row],[sum per date]]-IF(MONTH(Table10[[#This Row],[dates]])=MONTH(TODAY()),
SUMIF(Bills3[Paid?], "&lt;&gt;Y", Bills3[Amount]), SUM(Bills3[Amount]))</f>
        <v>3872</v>
      </c>
      <c r="AG103" s="136" t="e">
        <f ca="1">IF(AND(
Table10[[#This Row],[fluctuation]]=MIN(INDEX(Table10[fluctuation], MATCH(TODAY(),Table10[dates], 0)):INDEX(Table10[fluctuation], MATCH(end_date,Table10[dates], 0))),
OR(ISNA(INDEX($AF$2:AF102, MATCH(Table10[[#This Row],[fluctuation]], $AF$2:AF102, 0))), ROW(AG103)=2)),
Table10[[#This Row],[fluctuation]],
NA())</f>
        <v>#N/A</v>
      </c>
    </row>
    <row r="104" spans="22:33" x14ac:dyDescent="0.25">
      <c r="V104" s="129">
        <v>43872</v>
      </c>
      <c r="W104" s="1">
        <f>DAY(income_future[[#This Row],[dates]])</f>
        <v>11</v>
      </c>
      <c r="X104" s="130">
        <f ca="1">SUMIF(income_curr[mod( )], MOD(V104, 14), income_curr[income])</f>
        <v>0</v>
      </c>
      <c r="Z104" s="148" t="str">
        <f ca="1">IF(TEXT(Table10[[#This Row],[dates]], "ddd")="Mon", 999999999, "")</f>
        <v/>
      </c>
      <c r="AA104" s="148" t="str">
        <f ca="1">IF(TODAY()=Table10[[#This Row],[dates]], TEXT(DATE(2019, MONTH(Table10[[#This Row],[dates]]), 1), "mmm"), IFERROR(IF(MONTH(Table10[[#This Row],[dates]])&lt;&gt;MONTH(AC103), TEXT(DATE(2019, MONTH(Table10[[#This Row],[dates]]), 1), "mmm"), ""), ""))</f>
        <v/>
      </c>
      <c r="AB104" s="149">
        <f ca="1">DAY('Data Preparation'!$AC104)</f>
        <v>20</v>
      </c>
      <c r="AC104" s="150">
        <f t="shared" ca="1" si="3"/>
        <v>43881</v>
      </c>
      <c r="AD10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4" s="136">
        <f ca="1">IFERROR(
IF(MONTH(Table10[[#This Row],[dates]])&lt;&gt;MONTH($AC103), Table10[[#This Row],[delta $]]+AE103-SUM(Bills3[Amount]), N("deducts other bills at the end of each month")+
IF(Table10[[#This Row],[delta $]]&lt;&gt;0, Table10[[#This Row],[delta $]]+AE103,
AE103)),
"")</f>
        <v>4492</v>
      </c>
      <c r="AF104" s="151">
        <f ca="1">Table10[[#This Row],[sum per date]]-IF(MONTH(Table10[[#This Row],[dates]])=MONTH(TODAY()),
SUMIF(Bills3[Paid?], "&lt;&gt;Y", Bills3[Amount]), SUM(Bills3[Amount]))</f>
        <v>3872</v>
      </c>
      <c r="AG104" s="136" t="e">
        <f ca="1">IF(AND(
Table10[[#This Row],[fluctuation]]=MIN(INDEX(Table10[fluctuation], MATCH(TODAY(),Table10[dates], 0)):INDEX(Table10[fluctuation], MATCH(end_date,Table10[dates], 0))),
OR(ISNA(INDEX($AF$2:AF103, MATCH(Table10[[#This Row],[fluctuation]], $AF$2:AF103, 0))), ROW(AG104)=2)),
Table10[[#This Row],[fluctuation]],
NA())</f>
        <v>#N/A</v>
      </c>
    </row>
    <row r="105" spans="22:33" x14ac:dyDescent="0.25">
      <c r="V105" s="129">
        <v>43873</v>
      </c>
      <c r="W105" s="1">
        <f>DAY(income_future[[#This Row],[dates]])</f>
        <v>12</v>
      </c>
      <c r="X105" s="130">
        <f ca="1">SUMIF(income_curr[mod( )], MOD(V105, 14), income_curr[income])</f>
        <v>0</v>
      </c>
      <c r="Z105" s="148" t="str">
        <f ca="1">IF(TEXT(Table10[[#This Row],[dates]], "ddd")="Mon", 999999999, "")</f>
        <v/>
      </c>
      <c r="AA105" s="148" t="str">
        <f ca="1">IF(TODAY()=Table10[[#This Row],[dates]], TEXT(DATE(2019, MONTH(Table10[[#This Row],[dates]]), 1), "mmm"), IFERROR(IF(MONTH(Table10[[#This Row],[dates]])&lt;&gt;MONTH(AC104), TEXT(DATE(2019, MONTH(Table10[[#This Row],[dates]]), 1), "mmm"), ""), ""))</f>
        <v/>
      </c>
      <c r="AB105" s="149">
        <f ca="1">DAY('Data Preparation'!$AC105)</f>
        <v>21</v>
      </c>
      <c r="AC105" s="150">
        <f t="shared" ca="1" si="3"/>
        <v>43882</v>
      </c>
      <c r="AD10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5" s="136">
        <f ca="1">IFERROR(
IF(MONTH(Table10[[#This Row],[dates]])&lt;&gt;MONTH($AC104), Table10[[#This Row],[delta $]]+AE104-SUM(Bills3[Amount]), N("deducts other bills at the end of each month")+
IF(Table10[[#This Row],[delta $]]&lt;&gt;0, Table10[[#This Row],[delta $]]+AE104,
AE104)),
"")</f>
        <v>4492</v>
      </c>
      <c r="AF105" s="151">
        <f ca="1">Table10[[#This Row],[sum per date]]-IF(MONTH(Table10[[#This Row],[dates]])=MONTH(TODAY()),
SUMIF(Bills3[Paid?], "&lt;&gt;Y", Bills3[Amount]), SUM(Bills3[Amount]))</f>
        <v>3872</v>
      </c>
      <c r="AG105" s="136" t="e">
        <f ca="1">IF(AND(
Table10[[#This Row],[fluctuation]]=MIN(INDEX(Table10[fluctuation], MATCH(TODAY(),Table10[dates], 0)):INDEX(Table10[fluctuation], MATCH(end_date,Table10[dates], 0))),
OR(ISNA(INDEX($AF$2:AF104, MATCH(Table10[[#This Row],[fluctuation]], $AF$2:AF104, 0))), ROW(AG105)=2)),
Table10[[#This Row],[fluctuation]],
NA())</f>
        <v>#N/A</v>
      </c>
    </row>
    <row r="106" spans="22:33" x14ac:dyDescent="0.25">
      <c r="V106" s="129">
        <v>43874</v>
      </c>
      <c r="W106" s="1">
        <f>DAY(income_future[[#This Row],[dates]])</f>
        <v>13</v>
      </c>
      <c r="X106" s="130">
        <f ca="1">SUMIF(income_curr[mod( )], MOD(V106, 14), income_curr[income])</f>
        <v>0</v>
      </c>
      <c r="Z106" s="148" t="str">
        <f ca="1">IF(TEXT(Table10[[#This Row],[dates]], "ddd")="Mon", 999999999, "")</f>
        <v/>
      </c>
      <c r="AA106" s="148" t="str">
        <f ca="1">IF(TODAY()=Table10[[#This Row],[dates]], TEXT(DATE(2019, MONTH(Table10[[#This Row],[dates]]), 1), "mmm"), IFERROR(IF(MONTH(Table10[[#This Row],[dates]])&lt;&gt;MONTH(AC105), TEXT(DATE(2019, MONTH(Table10[[#This Row],[dates]]), 1), "mmm"), ""), ""))</f>
        <v/>
      </c>
      <c r="AB106" s="149">
        <f ca="1">DAY('Data Preparation'!$AC106)</f>
        <v>22</v>
      </c>
      <c r="AC106" s="150">
        <f t="shared" ca="1" si="3"/>
        <v>43883</v>
      </c>
      <c r="AD10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06" s="136">
        <f ca="1">IFERROR(
IF(MONTH(Table10[[#This Row],[dates]])&lt;&gt;MONTH($AC105), Table10[[#This Row],[delta $]]+AE105-SUM(Bills3[Amount]), N("deducts other bills at the end of each month")+
IF(Table10[[#This Row],[delta $]]&lt;&gt;0, Table10[[#This Row],[delta $]]+AE105,
AE105)),
"")</f>
        <v>5492</v>
      </c>
      <c r="AF106" s="151">
        <f ca="1">Table10[[#This Row],[sum per date]]-IF(MONTH(Table10[[#This Row],[dates]])=MONTH(TODAY()),
SUMIF(Bills3[Paid?], "&lt;&gt;Y", Bills3[Amount]), SUM(Bills3[Amount]))</f>
        <v>4872</v>
      </c>
      <c r="AG106" s="136" t="e">
        <f ca="1">IF(AND(
Table10[[#This Row],[fluctuation]]=MIN(INDEX(Table10[fluctuation], MATCH(TODAY(),Table10[dates], 0)):INDEX(Table10[fluctuation], MATCH(end_date,Table10[dates], 0))),
OR(ISNA(INDEX($AF$2:AF105, MATCH(Table10[[#This Row],[fluctuation]], $AF$2:AF105, 0))), ROW(AG106)=2)),
Table10[[#This Row],[fluctuation]],
NA())</f>
        <v>#N/A</v>
      </c>
    </row>
    <row r="107" spans="22:33" x14ac:dyDescent="0.25">
      <c r="V107" s="129">
        <v>43875</v>
      </c>
      <c r="W107" s="1">
        <f>DAY(income_future[[#This Row],[dates]])</f>
        <v>14</v>
      </c>
      <c r="X107" s="130">
        <f ca="1">SUMIF(income_curr[mod( )], MOD(V107, 14), income_curr[income])</f>
        <v>0</v>
      </c>
      <c r="Z107" s="148" t="str">
        <f ca="1">IF(TEXT(Table10[[#This Row],[dates]], "ddd")="Mon", 999999999, "")</f>
        <v/>
      </c>
      <c r="AA107" s="148" t="str">
        <f ca="1">IF(TODAY()=Table10[[#This Row],[dates]], TEXT(DATE(2019, MONTH(Table10[[#This Row],[dates]]), 1), "mmm"), IFERROR(IF(MONTH(Table10[[#This Row],[dates]])&lt;&gt;MONTH(AC106), TEXT(DATE(2019, MONTH(Table10[[#This Row],[dates]]), 1), "mmm"), ""), ""))</f>
        <v/>
      </c>
      <c r="AB107" s="149">
        <f ca="1">DAY('Data Preparation'!$AC107)</f>
        <v>23</v>
      </c>
      <c r="AC107" s="150">
        <f t="shared" ca="1" si="3"/>
        <v>43884</v>
      </c>
      <c r="AD10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7" s="136">
        <f ca="1">IFERROR(
IF(MONTH(Table10[[#This Row],[dates]])&lt;&gt;MONTH($AC106), Table10[[#This Row],[delta $]]+AE106-SUM(Bills3[Amount]), N("deducts other bills at the end of each month")+
IF(Table10[[#This Row],[delta $]]&lt;&gt;0, Table10[[#This Row],[delta $]]+AE106,
AE106)),
"")</f>
        <v>5492</v>
      </c>
      <c r="AF107" s="151">
        <f ca="1">Table10[[#This Row],[sum per date]]-IF(MONTH(Table10[[#This Row],[dates]])=MONTH(TODAY()),
SUMIF(Bills3[Paid?], "&lt;&gt;Y", Bills3[Amount]), SUM(Bills3[Amount]))</f>
        <v>4872</v>
      </c>
      <c r="AG107" s="136" t="e">
        <f ca="1">IF(AND(
Table10[[#This Row],[fluctuation]]=MIN(INDEX(Table10[fluctuation], MATCH(TODAY(),Table10[dates], 0)):INDEX(Table10[fluctuation], MATCH(end_date,Table10[dates], 0))),
OR(ISNA(INDEX($AF$2:AF106, MATCH(Table10[[#This Row],[fluctuation]], $AF$2:AF106, 0))), ROW(AG107)=2)),
Table10[[#This Row],[fluctuation]],
NA())</f>
        <v>#N/A</v>
      </c>
    </row>
    <row r="108" spans="22:33" x14ac:dyDescent="0.25">
      <c r="V108" s="129">
        <v>43876</v>
      </c>
      <c r="W108" s="1">
        <f>DAY(income_future[[#This Row],[dates]])</f>
        <v>15</v>
      </c>
      <c r="X108" s="130">
        <f ca="1">SUMIF(income_curr[mod( )], MOD(V108, 14), income_curr[income])</f>
        <v>0</v>
      </c>
      <c r="Z108" s="148">
        <f ca="1">IF(TEXT(Table10[[#This Row],[dates]], "ddd")="Mon", 999999999, "")</f>
        <v>999999999</v>
      </c>
      <c r="AA108" s="148" t="str">
        <f ca="1">IF(TODAY()=Table10[[#This Row],[dates]], TEXT(DATE(2019, MONTH(Table10[[#This Row],[dates]]), 1), "mmm"), IFERROR(IF(MONTH(Table10[[#This Row],[dates]])&lt;&gt;MONTH(AC107), TEXT(DATE(2019, MONTH(Table10[[#This Row],[dates]]), 1), "mmm"), ""), ""))</f>
        <v/>
      </c>
      <c r="AB108" s="149">
        <f ca="1">DAY('Data Preparation'!$AC108)</f>
        <v>24</v>
      </c>
      <c r="AC108" s="150">
        <f t="shared" ca="1" si="3"/>
        <v>43885</v>
      </c>
      <c r="AD10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8" s="136">
        <f ca="1">IFERROR(
IF(MONTH(Table10[[#This Row],[dates]])&lt;&gt;MONTH($AC107), Table10[[#This Row],[delta $]]+AE107-SUM(Bills3[Amount]), N("deducts other bills at the end of each month")+
IF(Table10[[#This Row],[delta $]]&lt;&gt;0, Table10[[#This Row],[delta $]]+AE107,
AE107)),
"")</f>
        <v>5492</v>
      </c>
      <c r="AF108" s="151">
        <f ca="1">Table10[[#This Row],[sum per date]]-IF(MONTH(Table10[[#This Row],[dates]])=MONTH(TODAY()),
SUMIF(Bills3[Paid?], "&lt;&gt;Y", Bills3[Amount]), SUM(Bills3[Amount]))</f>
        <v>4872</v>
      </c>
      <c r="AG108" s="136" t="e">
        <f ca="1">IF(AND(
Table10[[#This Row],[fluctuation]]=MIN(INDEX(Table10[fluctuation], MATCH(TODAY(),Table10[dates], 0)):INDEX(Table10[fluctuation], MATCH(end_date,Table10[dates], 0))),
OR(ISNA(INDEX($AF$2:AF107, MATCH(Table10[[#This Row],[fluctuation]], $AF$2:AF107, 0))), ROW(AG108)=2)),
Table10[[#This Row],[fluctuation]],
NA())</f>
        <v>#N/A</v>
      </c>
    </row>
    <row r="109" spans="22:33" x14ac:dyDescent="0.25">
      <c r="V109" s="129">
        <v>43877</v>
      </c>
      <c r="W109" s="1">
        <f>DAY(income_future[[#This Row],[dates]])</f>
        <v>16</v>
      </c>
      <c r="X109" s="130">
        <f ca="1">SUMIF(income_curr[mod( )], MOD(V109, 14), income_curr[income])</f>
        <v>0</v>
      </c>
      <c r="Z109" s="148" t="str">
        <f ca="1">IF(TEXT(Table10[[#This Row],[dates]], "ddd")="Mon", 999999999, "")</f>
        <v/>
      </c>
      <c r="AA109" s="148" t="str">
        <f ca="1">IF(TODAY()=Table10[[#This Row],[dates]], TEXT(DATE(2019, MONTH(Table10[[#This Row],[dates]]), 1), "mmm"), IFERROR(IF(MONTH(Table10[[#This Row],[dates]])&lt;&gt;MONTH(AC108), TEXT(DATE(2019, MONTH(Table10[[#This Row],[dates]]), 1), "mmm"), ""), ""))</f>
        <v/>
      </c>
      <c r="AB109" s="149">
        <f ca="1">DAY('Data Preparation'!$AC109)</f>
        <v>25</v>
      </c>
      <c r="AC109" s="150">
        <f t="shared" ca="1" si="3"/>
        <v>43886</v>
      </c>
      <c r="AD10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09" s="136">
        <f ca="1">IFERROR(
IF(MONTH(Table10[[#This Row],[dates]])&lt;&gt;MONTH($AC108), Table10[[#This Row],[delta $]]+AE108-SUM(Bills3[Amount]), N("deducts other bills at the end of each month")+
IF(Table10[[#This Row],[delta $]]&lt;&gt;0, Table10[[#This Row],[delta $]]+AE108,
AE108)),
"")</f>
        <v>5492</v>
      </c>
      <c r="AF109" s="151">
        <f ca="1">Table10[[#This Row],[sum per date]]-IF(MONTH(Table10[[#This Row],[dates]])=MONTH(TODAY()),
SUMIF(Bills3[Paid?], "&lt;&gt;Y", Bills3[Amount]), SUM(Bills3[Amount]))</f>
        <v>4872</v>
      </c>
      <c r="AG109" s="136" t="e">
        <f ca="1">IF(AND(
Table10[[#This Row],[fluctuation]]=MIN(INDEX(Table10[fluctuation], MATCH(TODAY(),Table10[dates], 0)):INDEX(Table10[fluctuation], MATCH(end_date,Table10[dates], 0))),
OR(ISNA(INDEX($AF$2:AF108, MATCH(Table10[[#This Row],[fluctuation]], $AF$2:AF108, 0))), ROW(AG109)=2)),
Table10[[#This Row],[fluctuation]],
NA())</f>
        <v>#N/A</v>
      </c>
    </row>
    <row r="110" spans="22:33" x14ac:dyDescent="0.25">
      <c r="V110" s="129">
        <v>43878</v>
      </c>
      <c r="W110" s="1">
        <f>DAY(income_future[[#This Row],[dates]])</f>
        <v>17</v>
      </c>
      <c r="X110" s="130">
        <f ca="1">SUMIF(income_curr[mod( )], MOD(V110, 14), income_curr[income])</f>
        <v>0</v>
      </c>
      <c r="Z110" s="148" t="str">
        <f ca="1">IF(TEXT(Table10[[#This Row],[dates]], "ddd")="Mon", 999999999, "")</f>
        <v/>
      </c>
      <c r="AA110" s="148" t="str">
        <f ca="1">IF(TODAY()=Table10[[#This Row],[dates]], TEXT(DATE(2019, MONTH(Table10[[#This Row],[dates]]), 1), "mmm"), IFERROR(IF(MONTH(Table10[[#This Row],[dates]])&lt;&gt;MONTH(AC109), TEXT(DATE(2019, MONTH(Table10[[#This Row],[dates]]), 1), "mmm"), ""), ""))</f>
        <v/>
      </c>
      <c r="AB110" s="149">
        <f ca="1">DAY('Data Preparation'!$AC110)</f>
        <v>26</v>
      </c>
      <c r="AC110" s="150">
        <f t="shared" ca="1" si="3"/>
        <v>43887</v>
      </c>
      <c r="AD11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0" s="136">
        <f ca="1">IFERROR(
IF(MONTH(Table10[[#This Row],[dates]])&lt;&gt;MONTH($AC109), Table10[[#This Row],[delta $]]+AE109-SUM(Bills3[Amount]), N("deducts other bills at the end of each month")+
IF(Table10[[#This Row],[delta $]]&lt;&gt;0, Table10[[#This Row],[delta $]]+AE109,
AE109)),
"")</f>
        <v>5492</v>
      </c>
      <c r="AF110" s="151">
        <f ca="1">Table10[[#This Row],[sum per date]]-IF(MONTH(Table10[[#This Row],[dates]])=MONTH(TODAY()),
SUMIF(Bills3[Paid?], "&lt;&gt;Y", Bills3[Amount]), SUM(Bills3[Amount]))</f>
        <v>4872</v>
      </c>
      <c r="AG110" s="136" t="e">
        <f ca="1">IF(AND(
Table10[[#This Row],[fluctuation]]=MIN(INDEX(Table10[fluctuation], MATCH(TODAY(),Table10[dates], 0)):INDEX(Table10[fluctuation], MATCH(end_date,Table10[dates], 0))),
OR(ISNA(INDEX($AF$2:AF109, MATCH(Table10[[#This Row],[fluctuation]], $AF$2:AF109, 0))), ROW(AG110)=2)),
Table10[[#This Row],[fluctuation]],
NA())</f>
        <v>#N/A</v>
      </c>
    </row>
    <row r="111" spans="22:33" x14ac:dyDescent="0.25">
      <c r="V111" s="129">
        <v>43879</v>
      </c>
      <c r="W111" s="1">
        <f>DAY(income_future[[#This Row],[dates]])</f>
        <v>18</v>
      </c>
      <c r="X111" s="130">
        <f ca="1">SUMIF(income_curr[mod( )], MOD(V111, 14), income_curr[income])</f>
        <v>0</v>
      </c>
      <c r="Z111" s="148" t="str">
        <f ca="1">IF(TEXT(Table10[[#This Row],[dates]], "ddd")="Mon", 999999999, "")</f>
        <v/>
      </c>
      <c r="AA111" s="148" t="str">
        <f ca="1">IF(TODAY()=Table10[[#This Row],[dates]], TEXT(DATE(2019, MONTH(Table10[[#This Row],[dates]]), 1), "mmm"), IFERROR(IF(MONTH(Table10[[#This Row],[dates]])&lt;&gt;MONTH(AC110), TEXT(DATE(2019, MONTH(Table10[[#This Row],[dates]]), 1), "mmm"), ""), ""))</f>
        <v/>
      </c>
      <c r="AB111" s="149">
        <f ca="1">DAY('Data Preparation'!$AC111)</f>
        <v>27</v>
      </c>
      <c r="AC111" s="150">
        <f t="shared" ca="1" si="3"/>
        <v>43888</v>
      </c>
      <c r="AD11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1" s="136">
        <f ca="1">IFERROR(
IF(MONTH(Table10[[#This Row],[dates]])&lt;&gt;MONTH($AC110), Table10[[#This Row],[delta $]]+AE110-SUM(Bills3[Amount]), N("deducts other bills at the end of each month")+
IF(Table10[[#This Row],[delta $]]&lt;&gt;0, Table10[[#This Row],[delta $]]+AE110,
AE110)),
"")</f>
        <v>5492</v>
      </c>
      <c r="AF111" s="151">
        <f ca="1">Table10[[#This Row],[sum per date]]-IF(MONTH(Table10[[#This Row],[dates]])=MONTH(TODAY()),
SUMIF(Bills3[Paid?], "&lt;&gt;Y", Bills3[Amount]), SUM(Bills3[Amount]))</f>
        <v>4872</v>
      </c>
      <c r="AG111" s="136" t="e">
        <f ca="1">IF(AND(
Table10[[#This Row],[fluctuation]]=MIN(INDEX(Table10[fluctuation], MATCH(TODAY(),Table10[dates], 0)):INDEX(Table10[fluctuation], MATCH(end_date,Table10[dates], 0))),
OR(ISNA(INDEX($AF$2:AF110, MATCH(Table10[[#This Row],[fluctuation]], $AF$2:AF110, 0))), ROW(AG111)=2)),
Table10[[#This Row],[fluctuation]],
NA())</f>
        <v>#N/A</v>
      </c>
    </row>
    <row r="112" spans="22:33" x14ac:dyDescent="0.25">
      <c r="V112" s="129">
        <v>43880</v>
      </c>
      <c r="W112" s="1">
        <f>DAY(income_future[[#This Row],[dates]])</f>
        <v>19</v>
      </c>
      <c r="X112" s="130">
        <f ca="1">SUMIF(income_curr[mod( )], MOD(V112, 14), income_curr[income])</f>
        <v>0</v>
      </c>
      <c r="Z112" s="148" t="str">
        <f ca="1">IF(TEXT(Table10[[#This Row],[dates]], "ddd")="Mon", 999999999, "")</f>
        <v/>
      </c>
      <c r="AA112" s="148" t="str">
        <f ca="1">IF(TODAY()=Table10[[#This Row],[dates]], TEXT(DATE(2019, MONTH(Table10[[#This Row],[dates]]), 1), "mmm"), IFERROR(IF(MONTH(Table10[[#This Row],[dates]])&lt;&gt;MONTH(AC111), TEXT(DATE(2019, MONTH(Table10[[#This Row],[dates]]), 1), "mmm"), ""), ""))</f>
        <v/>
      </c>
      <c r="AB112" s="149">
        <f ca="1">DAY('Data Preparation'!$AC112)</f>
        <v>28</v>
      </c>
      <c r="AC112" s="150">
        <f t="shared" ca="1" si="3"/>
        <v>43889</v>
      </c>
      <c r="AD11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2" s="136">
        <f ca="1">IFERROR(
IF(MONTH(Table10[[#This Row],[dates]])&lt;&gt;MONTH($AC111), Table10[[#This Row],[delta $]]+AE111-SUM(Bills3[Amount]), N("deducts other bills at the end of each month")+
IF(Table10[[#This Row],[delta $]]&lt;&gt;0, Table10[[#This Row],[delta $]]+AE111,
AE111)),
"")</f>
        <v>5492</v>
      </c>
      <c r="AF112" s="151">
        <f ca="1">Table10[[#This Row],[sum per date]]-IF(MONTH(Table10[[#This Row],[dates]])=MONTH(TODAY()),
SUMIF(Bills3[Paid?], "&lt;&gt;Y", Bills3[Amount]), SUM(Bills3[Amount]))</f>
        <v>4872</v>
      </c>
      <c r="AG112" s="136" t="e">
        <f ca="1">IF(AND(
Table10[[#This Row],[fluctuation]]=MIN(INDEX(Table10[fluctuation], MATCH(TODAY(),Table10[dates], 0)):INDEX(Table10[fluctuation], MATCH(end_date,Table10[dates], 0))),
OR(ISNA(INDEX($AF$2:AF111, MATCH(Table10[[#This Row],[fluctuation]], $AF$2:AF111, 0))), ROW(AG112)=2)),
Table10[[#This Row],[fluctuation]],
NA())</f>
        <v>#N/A</v>
      </c>
    </row>
    <row r="113" spans="22:33" x14ac:dyDescent="0.25">
      <c r="V113" s="129">
        <v>43881</v>
      </c>
      <c r="W113" s="1">
        <f>DAY(income_future[[#This Row],[dates]])</f>
        <v>20</v>
      </c>
      <c r="X113" s="130">
        <f ca="1">SUMIF(income_curr[mod( )], MOD(V113, 14), income_curr[income])</f>
        <v>0</v>
      </c>
      <c r="Z113" s="148" t="str">
        <f ca="1">IF(TEXT(Table10[[#This Row],[dates]], "ddd")="Mon", 999999999, "")</f>
        <v/>
      </c>
      <c r="AA113" s="148" t="str">
        <f ca="1">IF(TODAY()=Table10[[#This Row],[dates]], TEXT(DATE(2019, MONTH(Table10[[#This Row],[dates]]), 1), "mmm"), IFERROR(IF(MONTH(Table10[[#This Row],[dates]])&lt;&gt;MONTH(AC112), TEXT(DATE(2019, MONTH(Table10[[#This Row],[dates]]), 1), "mmm"), ""), ""))</f>
        <v/>
      </c>
      <c r="AB113" s="149">
        <f ca="1">DAY('Data Preparation'!$AC113)</f>
        <v>29</v>
      </c>
      <c r="AC113" s="150">
        <f t="shared" ca="1" si="3"/>
        <v>43890</v>
      </c>
      <c r="AD11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3" s="136">
        <f ca="1">IFERROR(
IF(MONTH(Table10[[#This Row],[dates]])&lt;&gt;MONTH($AC112), Table10[[#This Row],[delta $]]+AE112-SUM(Bills3[Amount]), N("deducts other bills at the end of each month")+
IF(Table10[[#This Row],[delta $]]&lt;&gt;0, Table10[[#This Row],[delta $]]+AE112,
AE112)),
"")</f>
        <v>5492</v>
      </c>
      <c r="AF113" s="151">
        <f ca="1">Table10[[#This Row],[sum per date]]-IF(MONTH(Table10[[#This Row],[dates]])=MONTH(TODAY()),
SUMIF(Bills3[Paid?], "&lt;&gt;Y", Bills3[Amount]), SUM(Bills3[Amount]))</f>
        <v>4872</v>
      </c>
      <c r="AG113" s="136" t="e">
        <f ca="1">IF(AND(
Table10[[#This Row],[fluctuation]]=MIN(INDEX(Table10[fluctuation], MATCH(TODAY(),Table10[dates], 0)):INDEX(Table10[fluctuation], MATCH(end_date,Table10[dates], 0))),
OR(ISNA(INDEX($AF$2:AF112, MATCH(Table10[[#This Row],[fluctuation]], $AF$2:AF112, 0))), ROW(AG113)=2)),
Table10[[#This Row],[fluctuation]],
NA())</f>
        <v>#N/A</v>
      </c>
    </row>
    <row r="114" spans="22:33" x14ac:dyDescent="0.25">
      <c r="V114" s="129">
        <v>43882</v>
      </c>
      <c r="W114" s="1">
        <f>DAY(income_future[[#This Row],[dates]])</f>
        <v>21</v>
      </c>
      <c r="X114" s="130">
        <f ca="1">SUMIF(income_curr[mod( )], MOD(V114, 14), income_curr[income])</f>
        <v>0</v>
      </c>
      <c r="Z114" s="148" t="str">
        <f ca="1">IF(TEXT(Table10[[#This Row],[dates]], "ddd")="Mon", 999999999, "")</f>
        <v/>
      </c>
      <c r="AA114" s="148" t="str">
        <f ca="1">IF(TODAY()=Table10[[#This Row],[dates]], TEXT(DATE(2019, MONTH(Table10[[#This Row],[dates]]), 1), "mmm"), IFERROR(IF(MONTH(Table10[[#This Row],[dates]])&lt;&gt;MONTH(AC113), TEXT(DATE(2019, MONTH(Table10[[#This Row],[dates]]), 1), "mmm"), ""), ""))</f>
        <v>Mar</v>
      </c>
      <c r="AB114" s="149">
        <f ca="1">DAY('Data Preparation'!$AC114)</f>
        <v>1</v>
      </c>
      <c r="AC114" s="150">
        <f t="shared" ca="1" si="3"/>
        <v>43891</v>
      </c>
      <c r="AD11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114" s="136">
        <f ca="1">IFERROR(
IF(MONTH(Table10[[#This Row],[dates]])&lt;&gt;MONTH($AC113), Table10[[#This Row],[delta $]]+AE113-SUM(Bills3[Amount]), N("deducts other bills at the end of each month")+
IF(Table10[[#This Row],[delta $]]&lt;&gt;0, Table10[[#This Row],[delta $]]+AE113,
AE113)),
"")</f>
        <v>4272</v>
      </c>
      <c r="AF114" s="151">
        <f ca="1">Table10[[#This Row],[sum per date]]-IF(MONTH(Table10[[#This Row],[dates]])=MONTH(TODAY()),
SUMIF(Bills3[Paid?], "&lt;&gt;Y", Bills3[Amount]), SUM(Bills3[Amount]))</f>
        <v>3652</v>
      </c>
      <c r="AG114" s="136" t="e">
        <f ca="1">IF(AND(
Table10[[#This Row],[fluctuation]]=MIN(INDEX(Table10[fluctuation], MATCH(TODAY(),Table10[dates], 0)):INDEX(Table10[fluctuation], MATCH(end_date,Table10[dates], 0))),
OR(ISNA(INDEX($AF$2:AF113, MATCH(Table10[[#This Row],[fluctuation]], $AF$2:AF113, 0))), ROW(AG114)=2)),
Table10[[#This Row],[fluctuation]],
NA())</f>
        <v>#N/A</v>
      </c>
    </row>
    <row r="115" spans="22:33" x14ac:dyDescent="0.25">
      <c r="V115" s="129">
        <v>43883</v>
      </c>
      <c r="W115" s="1">
        <f>DAY(income_future[[#This Row],[dates]])</f>
        <v>22</v>
      </c>
      <c r="X115" s="130">
        <f ca="1">SUMIF(income_curr[mod( )], MOD(V115, 14), income_curr[income])</f>
        <v>1000</v>
      </c>
      <c r="Z115" s="148">
        <f ca="1">IF(TEXT(Table10[[#This Row],[dates]], "ddd")="Mon", 999999999, "")</f>
        <v>999999999</v>
      </c>
      <c r="AA115" s="148" t="str">
        <f ca="1">IF(TODAY()=Table10[[#This Row],[dates]], TEXT(DATE(2019, MONTH(Table10[[#This Row],[dates]]), 1), "mmm"), IFERROR(IF(MONTH(Table10[[#This Row],[dates]])&lt;&gt;MONTH(AC114), TEXT(DATE(2019, MONTH(Table10[[#This Row],[dates]]), 1), "mmm"), ""), ""))</f>
        <v/>
      </c>
      <c r="AB115" s="149">
        <f ca="1">DAY('Data Preparation'!$AC115)</f>
        <v>2</v>
      </c>
      <c r="AC115" s="150">
        <f t="shared" ca="1" si="3"/>
        <v>43892</v>
      </c>
      <c r="AD11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5" s="136">
        <f ca="1">IFERROR(
IF(MONTH(Table10[[#This Row],[dates]])&lt;&gt;MONTH($AC114), Table10[[#This Row],[delta $]]+AE114-SUM(Bills3[Amount]), N("deducts other bills at the end of each month")+
IF(Table10[[#This Row],[delta $]]&lt;&gt;0, Table10[[#This Row],[delta $]]+AE114,
AE114)),
"")</f>
        <v>4272</v>
      </c>
      <c r="AF115" s="151">
        <f ca="1">Table10[[#This Row],[sum per date]]-IF(MONTH(Table10[[#This Row],[dates]])=MONTH(TODAY()),
SUMIF(Bills3[Paid?], "&lt;&gt;Y", Bills3[Amount]), SUM(Bills3[Amount]))</f>
        <v>3652</v>
      </c>
      <c r="AG115" s="136" t="e">
        <f ca="1">IF(AND(
Table10[[#This Row],[fluctuation]]=MIN(INDEX(Table10[fluctuation], MATCH(TODAY(),Table10[dates], 0)):INDEX(Table10[fluctuation], MATCH(end_date,Table10[dates], 0))),
OR(ISNA(INDEX($AF$2:AF114, MATCH(Table10[[#This Row],[fluctuation]], $AF$2:AF114, 0))), ROW(AG115)=2)),
Table10[[#This Row],[fluctuation]],
NA())</f>
        <v>#N/A</v>
      </c>
    </row>
    <row r="116" spans="22:33" x14ac:dyDescent="0.25">
      <c r="V116" s="129">
        <v>43884</v>
      </c>
      <c r="W116" s="1">
        <f>DAY(income_future[[#This Row],[dates]])</f>
        <v>23</v>
      </c>
      <c r="X116" s="130">
        <f ca="1">SUMIF(income_curr[mod( )], MOD(V116, 14), income_curr[income])</f>
        <v>0</v>
      </c>
      <c r="Z116" s="148" t="str">
        <f ca="1">IF(TEXT(Table10[[#This Row],[dates]], "ddd")="Mon", 999999999, "")</f>
        <v/>
      </c>
      <c r="AA116" s="148" t="str">
        <f ca="1">IF(TODAY()=Table10[[#This Row],[dates]], TEXT(DATE(2019, MONTH(Table10[[#This Row],[dates]]), 1), "mmm"), IFERROR(IF(MONTH(Table10[[#This Row],[dates]])&lt;&gt;MONTH(AC115), TEXT(DATE(2019, MONTH(Table10[[#This Row],[dates]]), 1), "mmm"), ""), ""))</f>
        <v/>
      </c>
      <c r="AB116" s="149">
        <f ca="1">DAY('Data Preparation'!$AC116)</f>
        <v>3</v>
      </c>
      <c r="AC116" s="150">
        <f t="shared" ca="1" si="3"/>
        <v>43893</v>
      </c>
      <c r="AD11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6" s="136">
        <f ca="1">IFERROR(
IF(MONTH(Table10[[#This Row],[dates]])&lt;&gt;MONTH($AC115), Table10[[#This Row],[delta $]]+AE115-SUM(Bills3[Amount]), N("deducts other bills at the end of each month")+
IF(Table10[[#This Row],[delta $]]&lt;&gt;0, Table10[[#This Row],[delta $]]+AE115,
AE115)),
"")</f>
        <v>4272</v>
      </c>
      <c r="AF116" s="151">
        <f ca="1">Table10[[#This Row],[sum per date]]-IF(MONTH(Table10[[#This Row],[dates]])=MONTH(TODAY()),
SUMIF(Bills3[Paid?], "&lt;&gt;Y", Bills3[Amount]), SUM(Bills3[Amount]))</f>
        <v>3652</v>
      </c>
      <c r="AG116" s="136" t="e">
        <f ca="1">IF(AND(
Table10[[#This Row],[fluctuation]]=MIN(INDEX(Table10[fluctuation], MATCH(TODAY(),Table10[dates], 0)):INDEX(Table10[fluctuation], MATCH(end_date,Table10[dates], 0))),
OR(ISNA(INDEX($AF$2:AF115, MATCH(Table10[[#This Row],[fluctuation]], $AF$2:AF115, 0))), ROW(AG116)=2)),
Table10[[#This Row],[fluctuation]],
NA())</f>
        <v>#N/A</v>
      </c>
    </row>
    <row r="117" spans="22:33" x14ac:dyDescent="0.25">
      <c r="V117" s="129">
        <v>43885</v>
      </c>
      <c r="W117" s="1">
        <f>DAY(income_future[[#This Row],[dates]])</f>
        <v>24</v>
      </c>
      <c r="X117" s="130">
        <f ca="1">SUMIF(income_curr[mod( )], MOD(V117, 14), income_curr[income])</f>
        <v>0</v>
      </c>
      <c r="Z117" s="148" t="str">
        <f ca="1">IF(TEXT(Table10[[#This Row],[dates]], "ddd")="Mon", 999999999, "")</f>
        <v/>
      </c>
      <c r="AA117" s="148" t="str">
        <f ca="1">IF(TODAY()=Table10[[#This Row],[dates]], TEXT(DATE(2019, MONTH(Table10[[#This Row],[dates]]), 1), "mmm"), IFERROR(IF(MONTH(Table10[[#This Row],[dates]])&lt;&gt;MONTH(AC116), TEXT(DATE(2019, MONTH(Table10[[#This Row],[dates]]), 1), "mmm"), ""), ""))</f>
        <v/>
      </c>
      <c r="AB117" s="149">
        <f ca="1">DAY('Data Preparation'!$AC117)</f>
        <v>4</v>
      </c>
      <c r="AC117" s="150">
        <f t="shared" ca="1" si="3"/>
        <v>43894</v>
      </c>
      <c r="AD11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7" s="136">
        <f ca="1">IFERROR(
IF(MONTH(Table10[[#This Row],[dates]])&lt;&gt;MONTH($AC116), Table10[[#This Row],[delta $]]+AE116-SUM(Bills3[Amount]), N("deducts other bills at the end of each month")+
IF(Table10[[#This Row],[delta $]]&lt;&gt;0, Table10[[#This Row],[delta $]]+AE116,
AE116)),
"")</f>
        <v>4272</v>
      </c>
      <c r="AF117" s="151">
        <f ca="1">Table10[[#This Row],[sum per date]]-IF(MONTH(Table10[[#This Row],[dates]])=MONTH(TODAY()),
SUMIF(Bills3[Paid?], "&lt;&gt;Y", Bills3[Amount]), SUM(Bills3[Amount]))</f>
        <v>3652</v>
      </c>
      <c r="AG117" s="136" t="e">
        <f ca="1">IF(AND(
Table10[[#This Row],[fluctuation]]=MIN(INDEX(Table10[fluctuation], MATCH(TODAY(),Table10[dates], 0)):INDEX(Table10[fluctuation], MATCH(end_date,Table10[dates], 0))),
OR(ISNA(INDEX($AF$2:AF116, MATCH(Table10[[#This Row],[fluctuation]], $AF$2:AF116, 0))), ROW(AG117)=2)),
Table10[[#This Row],[fluctuation]],
NA())</f>
        <v>#N/A</v>
      </c>
    </row>
    <row r="118" spans="22:33" x14ac:dyDescent="0.25">
      <c r="V118" s="129">
        <v>43886</v>
      </c>
      <c r="W118" s="1">
        <f>DAY(income_future[[#This Row],[dates]])</f>
        <v>25</v>
      </c>
      <c r="X118" s="130">
        <f ca="1">SUMIF(income_curr[mod( )], MOD(V118, 14), income_curr[income])</f>
        <v>0</v>
      </c>
      <c r="Z118" s="148" t="str">
        <f ca="1">IF(TEXT(Table10[[#This Row],[dates]], "ddd")="Mon", 999999999, "")</f>
        <v/>
      </c>
      <c r="AA118" s="148" t="str">
        <f ca="1">IF(TODAY()=Table10[[#This Row],[dates]], TEXT(DATE(2019, MONTH(Table10[[#This Row],[dates]]), 1), "mmm"), IFERROR(IF(MONTH(Table10[[#This Row],[dates]])&lt;&gt;MONTH(AC117), TEXT(DATE(2019, MONTH(Table10[[#This Row],[dates]]), 1), "mmm"), ""), ""))</f>
        <v/>
      </c>
      <c r="AB118" s="149">
        <f ca="1">DAY('Data Preparation'!$AC118)</f>
        <v>5</v>
      </c>
      <c r="AC118" s="150">
        <f t="shared" ca="1" si="3"/>
        <v>43895</v>
      </c>
      <c r="AD11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8" s="136">
        <f ca="1">IFERROR(
IF(MONTH(Table10[[#This Row],[dates]])&lt;&gt;MONTH($AC117), Table10[[#This Row],[delta $]]+AE117-SUM(Bills3[Amount]), N("deducts other bills at the end of each month")+
IF(Table10[[#This Row],[delta $]]&lt;&gt;0, Table10[[#This Row],[delta $]]+AE117,
AE117)),
"")</f>
        <v>4272</v>
      </c>
      <c r="AF118" s="151">
        <f ca="1">Table10[[#This Row],[sum per date]]-IF(MONTH(Table10[[#This Row],[dates]])=MONTH(TODAY()),
SUMIF(Bills3[Paid?], "&lt;&gt;Y", Bills3[Amount]), SUM(Bills3[Amount]))</f>
        <v>3652</v>
      </c>
      <c r="AG118" s="136" t="e">
        <f ca="1">IF(AND(
Table10[[#This Row],[fluctuation]]=MIN(INDEX(Table10[fluctuation], MATCH(TODAY(),Table10[dates], 0)):INDEX(Table10[fluctuation], MATCH(end_date,Table10[dates], 0))),
OR(ISNA(INDEX($AF$2:AF117, MATCH(Table10[[#This Row],[fluctuation]], $AF$2:AF117, 0))), ROW(AG118)=2)),
Table10[[#This Row],[fluctuation]],
NA())</f>
        <v>#N/A</v>
      </c>
    </row>
    <row r="119" spans="22:33" x14ac:dyDescent="0.25">
      <c r="V119" s="129">
        <v>43887</v>
      </c>
      <c r="W119" s="1">
        <f>DAY(income_future[[#This Row],[dates]])</f>
        <v>26</v>
      </c>
      <c r="X119" s="130">
        <f ca="1">SUMIF(income_curr[mod( )], MOD(V119, 14), income_curr[income])</f>
        <v>0</v>
      </c>
      <c r="Z119" s="148" t="str">
        <f ca="1">IF(TEXT(Table10[[#This Row],[dates]], "ddd")="Mon", 999999999, "")</f>
        <v/>
      </c>
      <c r="AA119" s="148" t="str">
        <f ca="1">IF(TODAY()=Table10[[#This Row],[dates]], TEXT(DATE(2019, MONTH(Table10[[#This Row],[dates]]), 1), "mmm"), IFERROR(IF(MONTH(Table10[[#This Row],[dates]])&lt;&gt;MONTH(AC118), TEXT(DATE(2019, MONTH(Table10[[#This Row],[dates]]), 1), "mmm"), ""), ""))</f>
        <v/>
      </c>
      <c r="AB119" s="149">
        <f ca="1">DAY('Data Preparation'!$AC119)</f>
        <v>6</v>
      </c>
      <c r="AC119" s="150">
        <f t="shared" ca="1" si="3"/>
        <v>43896</v>
      </c>
      <c r="AD11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19" s="136">
        <f ca="1">IFERROR(
IF(MONTH(Table10[[#This Row],[dates]])&lt;&gt;MONTH($AC118), Table10[[#This Row],[delta $]]+AE118-SUM(Bills3[Amount]), N("deducts other bills at the end of each month")+
IF(Table10[[#This Row],[delta $]]&lt;&gt;0, Table10[[#This Row],[delta $]]+AE118,
AE118)),
"")</f>
        <v>4272</v>
      </c>
      <c r="AF119" s="151">
        <f ca="1">Table10[[#This Row],[sum per date]]-IF(MONTH(Table10[[#This Row],[dates]])=MONTH(TODAY()),
SUMIF(Bills3[Paid?], "&lt;&gt;Y", Bills3[Amount]), SUM(Bills3[Amount]))</f>
        <v>3652</v>
      </c>
      <c r="AG119" s="136" t="e">
        <f ca="1">IF(AND(
Table10[[#This Row],[fluctuation]]=MIN(INDEX(Table10[fluctuation], MATCH(TODAY(),Table10[dates], 0)):INDEX(Table10[fluctuation], MATCH(end_date,Table10[dates], 0))),
OR(ISNA(INDEX($AF$2:AF118, MATCH(Table10[[#This Row],[fluctuation]], $AF$2:AF118, 0))), ROW(AG119)=2)),
Table10[[#This Row],[fluctuation]],
NA())</f>
        <v>#N/A</v>
      </c>
    </row>
    <row r="120" spans="22:33" x14ac:dyDescent="0.25">
      <c r="V120" s="129">
        <v>43888</v>
      </c>
      <c r="W120" s="1">
        <f>DAY(income_future[[#This Row],[dates]])</f>
        <v>27</v>
      </c>
      <c r="X120" s="130">
        <f ca="1">SUMIF(income_curr[mod( )], MOD(V120, 14), income_curr[income])</f>
        <v>0</v>
      </c>
      <c r="Z120" s="148" t="str">
        <f ca="1">IF(TEXT(Table10[[#This Row],[dates]], "ddd")="Mon", 999999999, "")</f>
        <v/>
      </c>
      <c r="AA120" s="148" t="str">
        <f ca="1">IF(TODAY()=Table10[[#This Row],[dates]], TEXT(DATE(2019, MONTH(Table10[[#This Row],[dates]]), 1), "mmm"), IFERROR(IF(MONTH(Table10[[#This Row],[dates]])&lt;&gt;MONTH(AC119), TEXT(DATE(2019, MONTH(Table10[[#This Row],[dates]]), 1), "mmm"), ""), ""))</f>
        <v/>
      </c>
      <c r="AB120" s="149">
        <f ca="1">DAY('Data Preparation'!$AC120)</f>
        <v>7</v>
      </c>
      <c r="AC120" s="150">
        <f t="shared" ca="1" si="3"/>
        <v>43897</v>
      </c>
      <c r="AD12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20" s="136">
        <f ca="1">IFERROR(
IF(MONTH(Table10[[#This Row],[dates]])&lt;&gt;MONTH($AC119), Table10[[#This Row],[delta $]]+AE119-SUM(Bills3[Amount]), N("deducts other bills at the end of each month")+
IF(Table10[[#This Row],[delta $]]&lt;&gt;0, Table10[[#This Row],[delta $]]+AE119,
AE119)),
"")</f>
        <v>5272</v>
      </c>
      <c r="AF120" s="151">
        <f ca="1">Table10[[#This Row],[sum per date]]-IF(MONTH(Table10[[#This Row],[dates]])=MONTH(TODAY()),
SUMIF(Bills3[Paid?], "&lt;&gt;Y", Bills3[Amount]), SUM(Bills3[Amount]))</f>
        <v>4652</v>
      </c>
      <c r="AG120" s="136" t="e">
        <f ca="1">IF(AND(
Table10[[#This Row],[fluctuation]]=MIN(INDEX(Table10[fluctuation], MATCH(TODAY(),Table10[dates], 0)):INDEX(Table10[fluctuation], MATCH(end_date,Table10[dates], 0))),
OR(ISNA(INDEX($AF$2:AF119, MATCH(Table10[[#This Row],[fluctuation]], $AF$2:AF119, 0))), ROW(AG120)=2)),
Table10[[#This Row],[fluctuation]],
NA())</f>
        <v>#N/A</v>
      </c>
    </row>
    <row r="121" spans="22:33" x14ac:dyDescent="0.25">
      <c r="V121" s="129">
        <v>43889</v>
      </c>
      <c r="W121" s="1">
        <f>DAY(income_future[[#This Row],[dates]])</f>
        <v>28</v>
      </c>
      <c r="X121" s="130">
        <f ca="1">SUMIF(income_curr[mod( )], MOD(V121, 14), income_curr[income])</f>
        <v>0</v>
      </c>
      <c r="Z121" s="148" t="str">
        <f ca="1">IF(TEXT(Table10[[#This Row],[dates]], "ddd")="Mon", 999999999, "")</f>
        <v/>
      </c>
      <c r="AA121" s="148" t="str">
        <f ca="1">IF(TODAY()=Table10[[#This Row],[dates]], TEXT(DATE(2019, MONTH(Table10[[#This Row],[dates]]), 1), "mmm"), IFERROR(IF(MONTH(Table10[[#This Row],[dates]])&lt;&gt;MONTH(AC120), TEXT(DATE(2019, MONTH(Table10[[#This Row],[dates]]), 1), "mmm"), ""), ""))</f>
        <v/>
      </c>
      <c r="AB121" s="149">
        <f ca="1">DAY('Data Preparation'!$AC121)</f>
        <v>8</v>
      </c>
      <c r="AC121" s="150">
        <f t="shared" ca="1" si="3"/>
        <v>43898</v>
      </c>
      <c r="AD12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1" s="136">
        <f ca="1">IFERROR(
IF(MONTH(Table10[[#This Row],[dates]])&lt;&gt;MONTH($AC120), Table10[[#This Row],[delta $]]+AE120-SUM(Bills3[Amount]), N("deducts other bills at the end of each month")+
IF(Table10[[#This Row],[delta $]]&lt;&gt;0, Table10[[#This Row],[delta $]]+AE120,
AE120)),
"")</f>
        <v>5272</v>
      </c>
      <c r="AF121" s="151">
        <f ca="1">Table10[[#This Row],[sum per date]]-IF(MONTH(Table10[[#This Row],[dates]])=MONTH(TODAY()),
SUMIF(Bills3[Paid?], "&lt;&gt;Y", Bills3[Amount]), SUM(Bills3[Amount]))</f>
        <v>4652</v>
      </c>
      <c r="AG121" s="136" t="e">
        <f ca="1">IF(AND(
Table10[[#This Row],[fluctuation]]=MIN(INDEX(Table10[fluctuation], MATCH(TODAY(),Table10[dates], 0)):INDEX(Table10[fluctuation], MATCH(end_date,Table10[dates], 0))),
OR(ISNA(INDEX($AF$2:AF120, MATCH(Table10[[#This Row],[fluctuation]], $AF$2:AF120, 0))), ROW(AG121)=2)),
Table10[[#This Row],[fluctuation]],
NA())</f>
        <v>#N/A</v>
      </c>
    </row>
    <row r="122" spans="22:33" x14ac:dyDescent="0.25">
      <c r="V122" s="129">
        <v>43890</v>
      </c>
      <c r="W122" s="1">
        <f>DAY(income_future[[#This Row],[dates]])</f>
        <v>29</v>
      </c>
      <c r="X122" s="130">
        <f ca="1">SUMIF(income_curr[mod( )], MOD(V122, 14), income_curr[income])</f>
        <v>0</v>
      </c>
      <c r="Z122" s="148">
        <f ca="1">IF(TEXT(Table10[[#This Row],[dates]], "ddd")="Mon", 999999999, "")</f>
        <v>999999999</v>
      </c>
      <c r="AA122" s="148" t="str">
        <f ca="1">IF(TODAY()=Table10[[#This Row],[dates]], TEXT(DATE(2019, MONTH(Table10[[#This Row],[dates]]), 1), "mmm"), IFERROR(IF(MONTH(Table10[[#This Row],[dates]])&lt;&gt;MONTH(AC121), TEXT(DATE(2019, MONTH(Table10[[#This Row],[dates]]), 1), "mmm"), ""), ""))</f>
        <v/>
      </c>
      <c r="AB122" s="149">
        <f ca="1">DAY('Data Preparation'!$AC122)</f>
        <v>9</v>
      </c>
      <c r="AC122" s="150">
        <f t="shared" ca="1" si="3"/>
        <v>43899</v>
      </c>
      <c r="AD12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2" s="136">
        <f ca="1">IFERROR(
IF(MONTH(Table10[[#This Row],[dates]])&lt;&gt;MONTH($AC121), Table10[[#This Row],[delta $]]+AE121-SUM(Bills3[Amount]), N("deducts other bills at the end of each month")+
IF(Table10[[#This Row],[delta $]]&lt;&gt;0, Table10[[#This Row],[delta $]]+AE121,
AE121)),
"")</f>
        <v>5272</v>
      </c>
      <c r="AF122" s="151">
        <f ca="1">Table10[[#This Row],[sum per date]]-IF(MONTH(Table10[[#This Row],[dates]])=MONTH(TODAY()),
SUMIF(Bills3[Paid?], "&lt;&gt;Y", Bills3[Amount]), SUM(Bills3[Amount]))</f>
        <v>4652</v>
      </c>
      <c r="AG122" s="136" t="e">
        <f ca="1">IF(AND(
Table10[[#This Row],[fluctuation]]=MIN(INDEX(Table10[fluctuation], MATCH(TODAY(),Table10[dates], 0)):INDEX(Table10[fluctuation], MATCH(end_date,Table10[dates], 0))),
OR(ISNA(INDEX($AF$2:AF121, MATCH(Table10[[#This Row],[fluctuation]], $AF$2:AF121, 0))), ROW(AG122)=2)),
Table10[[#This Row],[fluctuation]],
NA())</f>
        <v>#N/A</v>
      </c>
    </row>
    <row r="123" spans="22:33" x14ac:dyDescent="0.25">
      <c r="V123" s="129">
        <v>43891</v>
      </c>
      <c r="W123" s="1">
        <f>DAY(income_future[[#This Row],[dates]])</f>
        <v>1</v>
      </c>
      <c r="X123" s="130">
        <f ca="1">SUMIF(income_curr[mod( )], MOD(V123, 14), income_curr[income])</f>
        <v>0</v>
      </c>
      <c r="Z123" s="148" t="str">
        <f ca="1">IF(TEXT(Table10[[#This Row],[dates]], "ddd")="Mon", 999999999, "")</f>
        <v/>
      </c>
      <c r="AA123" s="148" t="str">
        <f ca="1">IF(TODAY()=Table10[[#This Row],[dates]], TEXT(DATE(2019, MONTH(Table10[[#This Row],[dates]]), 1), "mmm"), IFERROR(IF(MONTH(Table10[[#This Row],[dates]])&lt;&gt;MONTH(AC122), TEXT(DATE(2019, MONTH(Table10[[#This Row],[dates]]), 1), "mmm"), ""), ""))</f>
        <v/>
      </c>
      <c r="AB123" s="149">
        <f ca="1">DAY('Data Preparation'!$AC123)</f>
        <v>10</v>
      </c>
      <c r="AC123" s="150">
        <f t="shared" ca="1" si="3"/>
        <v>43900</v>
      </c>
      <c r="AD12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3" s="136">
        <f ca="1">IFERROR(
IF(MONTH(Table10[[#This Row],[dates]])&lt;&gt;MONTH($AC122), Table10[[#This Row],[delta $]]+AE122-SUM(Bills3[Amount]), N("deducts other bills at the end of each month")+
IF(Table10[[#This Row],[delta $]]&lt;&gt;0, Table10[[#This Row],[delta $]]+AE122,
AE122)),
"")</f>
        <v>5272</v>
      </c>
      <c r="AF123" s="151">
        <f ca="1">Table10[[#This Row],[sum per date]]-IF(MONTH(Table10[[#This Row],[dates]])=MONTH(TODAY()),
SUMIF(Bills3[Paid?], "&lt;&gt;Y", Bills3[Amount]), SUM(Bills3[Amount]))</f>
        <v>4652</v>
      </c>
      <c r="AG123" s="136" t="e">
        <f ca="1">IF(AND(
Table10[[#This Row],[fluctuation]]=MIN(INDEX(Table10[fluctuation], MATCH(TODAY(),Table10[dates], 0)):INDEX(Table10[fluctuation], MATCH(end_date,Table10[dates], 0))),
OR(ISNA(INDEX($AF$2:AF122, MATCH(Table10[[#This Row],[fluctuation]], $AF$2:AF122, 0))), ROW(AG123)=2)),
Table10[[#This Row],[fluctuation]],
NA())</f>
        <v>#N/A</v>
      </c>
    </row>
    <row r="124" spans="22:33" x14ac:dyDescent="0.25">
      <c r="V124" s="129">
        <v>43892</v>
      </c>
      <c r="W124" s="1">
        <f>DAY(income_future[[#This Row],[dates]])</f>
        <v>2</v>
      </c>
      <c r="X124" s="130">
        <f ca="1">SUMIF(income_curr[mod( )], MOD(V124, 14), income_curr[income])</f>
        <v>0</v>
      </c>
      <c r="Z124" s="148" t="str">
        <f ca="1">IF(TEXT(Table10[[#This Row],[dates]], "ddd")="Mon", 999999999, "")</f>
        <v/>
      </c>
      <c r="AA124" s="148" t="str">
        <f ca="1">IF(TODAY()=Table10[[#This Row],[dates]], TEXT(DATE(2019, MONTH(Table10[[#This Row],[dates]]), 1), "mmm"), IFERROR(IF(MONTH(Table10[[#This Row],[dates]])&lt;&gt;MONTH(AC123), TEXT(DATE(2019, MONTH(Table10[[#This Row],[dates]]), 1), "mmm"), ""), ""))</f>
        <v/>
      </c>
      <c r="AB124" s="149">
        <f ca="1">DAY('Data Preparation'!$AC124)</f>
        <v>11</v>
      </c>
      <c r="AC124" s="150">
        <f t="shared" ca="1" si="3"/>
        <v>43901</v>
      </c>
      <c r="AD12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4" s="136">
        <f ca="1">IFERROR(
IF(MONTH(Table10[[#This Row],[dates]])&lt;&gt;MONTH($AC123), Table10[[#This Row],[delta $]]+AE123-SUM(Bills3[Amount]), N("deducts other bills at the end of each month")+
IF(Table10[[#This Row],[delta $]]&lt;&gt;0, Table10[[#This Row],[delta $]]+AE123,
AE123)),
"")</f>
        <v>5272</v>
      </c>
      <c r="AF124" s="151">
        <f ca="1">Table10[[#This Row],[sum per date]]-IF(MONTH(Table10[[#This Row],[dates]])=MONTH(TODAY()),
SUMIF(Bills3[Paid?], "&lt;&gt;Y", Bills3[Amount]), SUM(Bills3[Amount]))</f>
        <v>4652</v>
      </c>
      <c r="AG124" s="136" t="e">
        <f ca="1">IF(AND(
Table10[[#This Row],[fluctuation]]=MIN(INDEX(Table10[fluctuation], MATCH(TODAY(),Table10[dates], 0)):INDEX(Table10[fluctuation], MATCH(end_date,Table10[dates], 0))),
OR(ISNA(INDEX($AF$2:AF123, MATCH(Table10[[#This Row],[fluctuation]], $AF$2:AF123, 0))), ROW(AG124)=2)),
Table10[[#This Row],[fluctuation]],
NA())</f>
        <v>#N/A</v>
      </c>
    </row>
    <row r="125" spans="22:33" x14ac:dyDescent="0.25">
      <c r="V125" s="129">
        <v>43893</v>
      </c>
      <c r="W125" s="1">
        <f>DAY(income_future[[#This Row],[dates]])</f>
        <v>3</v>
      </c>
      <c r="X125" s="130">
        <f ca="1">SUMIF(income_curr[mod( )], MOD(V125, 14), income_curr[income])</f>
        <v>0</v>
      </c>
      <c r="Z125" s="148" t="str">
        <f ca="1">IF(TEXT(Table10[[#This Row],[dates]], "ddd")="Mon", 999999999, "")</f>
        <v/>
      </c>
      <c r="AA125" s="148" t="str">
        <f ca="1">IF(TODAY()=Table10[[#This Row],[dates]], TEXT(DATE(2019, MONTH(Table10[[#This Row],[dates]]), 1), "mmm"), IFERROR(IF(MONTH(Table10[[#This Row],[dates]])&lt;&gt;MONTH(AC124), TEXT(DATE(2019, MONTH(Table10[[#This Row],[dates]]), 1), "mmm"), ""), ""))</f>
        <v/>
      </c>
      <c r="AB125" s="149">
        <f ca="1">DAY('Data Preparation'!$AC125)</f>
        <v>12</v>
      </c>
      <c r="AC125" s="150">
        <f t="shared" ca="1" si="3"/>
        <v>43902</v>
      </c>
      <c r="AD12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5" s="136">
        <f ca="1">IFERROR(
IF(MONTH(Table10[[#This Row],[dates]])&lt;&gt;MONTH($AC124), Table10[[#This Row],[delta $]]+AE124-SUM(Bills3[Amount]), N("deducts other bills at the end of each month")+
IF(Table10[[#This Row],[delta $]]&lt;&gt;0, Table10[[#This Row],[delta $]]+AE124,
AE124)),
"")</f>
        <v>5272</v>
      </c>
      <c r="AF125" s="151">
        <f ca="1">Table10[[#This Row],[sum per date]]-IF(MONTH(Table10[[#This Row],[dates]])=MONTH(TODAY()),
SUMIF(Bills3[Paid?], "&lt;&gt;Y", Bills3[Amount]), SUM(Bills3[Amount]))</f>
        <v>4652</v>
      </c>
      <c r="AG125" s="136" t="e">
        <f ca="1">IF(AND(
Table10[[#This Row],[fluctuation]]=MIN(INDEX(Table10[fluctuation], MATCH(TODAY(),Table10[dates], 0)):INDEX(Table10[fluctuation], MATCH(end_date,Table10[dates], 0))),
OR(ISNA(INDEX($AF$2:AF124, MATCH(Table10[[#This Row],[fluctuation]], $AF$2:AF124, 0))), ROW(AG125)=2)),
Table10[[#This Row],[fluctuation]],
NA())</f>
        <v>#N/A</v>
      </c>
    </row>
    <row r="126" spans="22:33" x14ac:dyDescent="0.25">
      <c r="V126" s="129">
        <v>43894</v>
      </c>
      <c r="W126" s="1">
        <f>DAY(income_future[[#This Row],[dates]])</f>
        <v>4</v>
      </c>
      <c r="X126" s="130">
        <f ca="1">SUMIF(income_curr[mod( )], MOD(V126, 14), income_curr[income])</f>
        <v>0</v>
      </c>
      <c r="Z126" s="148" t="str">
        <f ca="1">IF(TEXT(Table10[[#This Row],[dates]], "ddd")="Mon", 999999999, "")</f>
        <v/>
      </c>
      <c r="AA126" s="148" t="str">
        <f ca="1">IF(TODAY()=Table10[[#This Row],[dates]], TEXT(DATE(2019, MONTH(Table10[[#This Row],[dates]]), 1), "mmm"), IFERROR(IF(MONTH(Table10[[#This Row],[dates]])&lt;&gt;MONTH(AC125), TEXT(DATE(2019, MONTH(Table10[[#This Row],[dates]]), 1), "mmm"), ""), ""))</f>
        <v/>
      </c>
      <c r="AB126" s="149">
        <f ca="1">DAY('Data Preparation'!$AC126)</f>
        <v>13</v>
      </c>
      <c r="AC126" s="150">
        <f t="shared" ca="1" si="3"/>
        <v>43903</v>
      </c>
      <c r="AD12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6" s="136">
        <f ca="1">IFERROR(
IF(MONTH(Table10[[#This Row],[dates]])&lt;&gt;MONTH($AC125), Table10[[#This Row],[delta $]]+AE125-SUM(Bills3[Amount]), N("deducts other bills at the end of each month")+
IF(Table10[[#This Row],[delta $]]&lt;&gt;0, Table10[[#This Row],[delta $]]+AE125,
AE125)),
"")</f>
        <v>5272</v>
      </c>
      <c r="AF126" s="151">
        <f ca="1">Table10[[#This Row],[sum per date]]-IF(MONTH(Table10[[#This Row],[dates]])=MONTH(TODAY()),
SUMIF(Bills3[Paid?], "&lt;&gt;Y", Bills3[Amount]), SUM(Bills3[Amount]))</f>
        <v>4652</v>
      </c>
      <c r="AG126" s="136" t="e">
        <f ca="1">IF(AND(
Table10[[#This Row],[fluctuation]]=MIN(INDEX(Table10[fluctuation], MATCH(TODAY(),Table10[dates], 0)):INDEX(Table10[fluctuation], MATCH(end_date,Table10[dates], 0))),
OR(ISNA(INDEX($AF$2:AF125, MATCH(Table10[[#This Row],[fluctuation]], $AF$2:AF125, 0))), ROW(AG126)=2)),
Table10[[#This Row],[fluctuation]],
NA())</f>
        <v>#N/A</v>
      </c>
    </row>
    <row r="127" spans="22:33" x14ac:dyDescent="0.25">
      <c r="V127" s="129">
        <v>43895</v>
      </c>
      <c r="W127" s="1">
        <f>DAY(income_future[[#This Row],[dates]])</f>
        <v>5</v>
      </c>
      <c r="X127" s="130">
        <f ca="1">SUMIF(income_curr[mod( )], MOD(V127, 14), income_curr[income])</f>
        <v>0</v>
      </c>
      <c r="Z127" s="148" t="str">
        <f ca="1">IF(TEXT(Table10[[#This Row],[dates]], "ddd")="Mon", 999999999, "")</f>
        <v/>
      </c>
      <c r="AA127" s="148" t="str">
        <f ca="1">IF(TODAY()=Table10[[#This Row],[dates]], TEXT(DATE(2019, MONTH(Table10[[#This Row],[dates]]), 1), "mmm"), IFERROR(IF(MONTH(Table10[[#This Row],[dates]])&lt;&gt;MONTH(AC126), TEXT(DATE(2019, MONTH(Table10[[#This Row],[dates]]), 1), "mmm"), ""), ""))</f>
        <v/>
      </c>
      <c r="AB127" s="149">
        <f ca="1">DAY('Data Preparation'!$AC127)</f>
        <v>14</v>
      </c>
      <c r="AC127" s="150">
        <f t="shared" ca="1" si="3"/>
        <v>43904</v>
      </c>
      <c r="AD12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7" s="136">
        <f ca="1">IFERROR(
IF(MONTH(Table10[[#This Row],[dates]])&lt;&gt;MONTH($AC126), Table10[[#This Row],[delta $]]+AE126-SUM(Bills3[Amount]), N("deducts other bills at the end of each month")+
IF(Table10[[#This Row],[delta $]]&lt;&gt;0, Table10[[#This Row],[delta $]]+AE126,
AE126)),
"")</f>
        <v>5272</v>
      </c>
      <c r="AF127" s="151">
        <f ca="1">Table10[[#This Row],[sum per date]]-IF(MONTH(Table10[[#This Row],[dates]])=MONTH(TODAY()),
SUMIF(Bills3[Paid?], "&lt;&gt;Y", Bills3[Amount]), SUM(Bills3[Amount]))</f>
        <v>4652</v>
      </c>
      <c r="AG127" s="136" t="e">
        <f ca="1">IF(AND(
Table10[[#This Row],[fluctuation]]=MIN(INDEX(Table10[fluctuation], MATCH(TODAY(),Table10[dates], 0)):INDEX(Table10[fluctuation], MATCH(end_date,Table10[dates], 0))),
OR(ISNA(INDEX($AF$2:AF126, MATCH(Table10[[#This Row],[fluctuation]], $AF$2:AF126, 0))), ROW(AG127)=2)),
Table10[[#This Row],[fluctuation]],
NA())</f>
        <v>#N/A</v>
      </c>
    </row>
    <row r="128" spans="22:33" x14ac:dyDescent="0.25">
      <c r="V128" s="129">
        <v>43896</v>
      </c>
      <c r="W128" s="1">
        <f>DAY(income_future[[#This Row],[dates]])</f>
        <v>6</v>
      </c>
      <c r="X128" s="130">
        <f ca="1">SUMIF(income_curr[mod( )], MOD(V128, 14), income_curr[income])</f>
        <v>0</v>
      </c>
      <c r="Z128" s="148" t="str">
        <f ca="1">IF(TEXT(Table10[[#This Row],[dates]], "ddd")="Mon", 999999999, "")</f>
        <v/>
      </c>
      <c r="AA128" s="148" t="str">
        <f ca="1">IF(TODAY()=Table10[[#This Row],[dates]], TEXT(DATE(2019, MONTH(Table10[[#This Row],[dates]]), 1), "mmm"), IFERROR(IF(MONTH(Table10[[#This Row],[dates]])&lt;&gt;MONTH(AC127), TEXT(DATE(2019, MONTH(Table10[[#This Row],[dates]]), 1), "mmm"), ""), ""))</f>
        <v/>
      </c>
      <c r="AB128" s="149">
        <f ca="1">DAY('Data Preparation'!$AC128)</f>
        <v>15</v>
      </c>
      <c r="AC128" s="150">
        <f t="shared" ca="1" si="3"/>
        <v>43905</v>
      </c>
      <c r="AD12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128" s="136">
        <f ca="1">IFERROR(
IF(MONTH(Table10[[#This Row],[dates]])&lt;&gt;MONTH($AC127), Table10[[#This Row],[delta $]]+AE127-SUM(Bills3[Amount]), N("deducts other bills at the end of each month")+
IF(Table10[[#This Row],[delta $]]&lt;&gt;0, Table10[[#This Row],[delta $]]+AE127,
AE127)),
"")</f>
        <v>5060</v>
      </c>
      <c r="AF128" s="151">
        <f ca="1">Table10[[#This Row],[sum per date]]-IF(MONTH(Table10[[#This Row],[dates]])=MONTH(TODAY()),
SUMIF(Bills3[Paid?], "&lt;&gt;Y", Bills3[Amount]), SUM(Bills3[Amount]))</f>
        <v>4440</v>
      </c>
      <c r="AG128" s="136" t="e">
        <f ca="1">IF(AND(
Table10[[#This Row],[fluctuation]]=MIN(INDEX(Table10[fluctuation], MATCH(TODAY(),Table10[dates], 0)):INDEX(Table10[fluctuation], MATCH(end_date,Table10[dates], 0))),
OR(ISNA(INDEX($AF$2:AF127, MATCH(Table10[[#This Row],[fluctuation]], $AF$2:AF127, 0))), ROW(AG128)=2)),
Table10[[#This Row],[fluctuation]],
NA())</f>
        <v>#N/A</v>
      </c>
    </row>
    <row r="129" spans="22:33" x14ac:dyDescent="0.25">
      <c r="V129" s="129">
        <v>43897</v>
      </c>
      <c r="W129" s="1">
        <f>DAY(income_future[[#This Row],[dates]])</f>
        <v>7</v>
      </c>
      <c r="X129" s="130">
        <f ca="1">SUMIF(income_curr[mod( )], MOD(V129, 14), income_curr[income])</f>
        <v>1000</v>
      </c>
      <c r="Z129" s="148">
        <f ca="1">IF(TEXT(Table10[[#This Row],[dates]], "ddd")="Mon", 999999999, "")</f>
        <v>999999999</v>
      </c>
      <c r="AA129" s="148" t="str">
        <f ca="1">IF(TODAY()=Table10[[#This Row],[dates]], TEXT(DATE(2019, MONTH(Table10[[#This Row],[dates]]), 1), "mmm"), IFERROR(IF(MONTH(Table10[[#This Row],[dates]])&lt;&gt;MONTH(AC128), TEXT(DATE(2019, MONTH(Table10[[#This Row],[dates]]), 1), "mmm"), ""), ""))</f>
        <v/>
      </c>
      <c r="AB129" s="149">
        <f ca="1">DAY('Data Preparation'!$AC129)</f>
        <v>16</v>
      </c>
      <c r="AC129" s="150">
        <f t="shared" ca="1" si="3"/>
        <v>43906</v>
      </c>
      <c r="AD12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29" s="136">
        <f ca="1">IFERROR(
IF(MONTH(Table10[[#This Row],[dates]])&lt;&gt;MONTH($AC128), Table10[[#This Row],[delta $]]+AE128-SUM(Bills3[Amount]), N("deducts other bills at the end of each month")+
IF(Table10[[#This Row],[delta $]]&lt;&gt;0, Table10[[#This Row],[delta $]]+AE128,
AE128)),
"")</f>
        <v>5060</v>
      </c>
      <c r="AF129" s="151">
        <f ca="1">Table10[[#This Row],[sum per date]]-IF(MONTH(Table10[[#This Row],[dates]])=MONTH(TODAY()),
SUMIF(Bills3[Paid?], "&lt;&gt;Y", Bills3[Amount]), SUM(Bills3[Amount]))</f>
        <v>4440</v>
      </c>
      <c r="AG129" s="136" t="e">
        <f ca="1">IF(AND(
Table10[[#This Row],[fluctuation]]=MIN(INDEX(Table10[fluctuation], MATCH(TODAY(),Table10[dates], 0)):INDEX(Table10[fluctuation], MATCH(end_date,Table10[dates], 0))),
OR(ISNA(INDEX($AF$2:AF128, MATCH(Table10[[#This Row],[fluctuation]], $AF$2:AF128, 0))), ROW(AG129)=2)),
Table10[[#This Row],[fluctuation]],
NA())</f>
        <v>#N/A</v>
      </c>
    </row>
    <row r="130" spans="22:33" x14ac:dyDescent="0.25">
      <c r="V130" s="129">
        <v>43898</v>
      </c>
      <c r="W130" s="1">
        <f>DAY(income_future[[#This Row],[dates]])</f>
        <v>8</v>
      </c>
      <c r="X130" s="130">
        <f ca="1">SUMIF(income_curr[mod( )], MOD(V130, 14), income_curr[income])</f>
        <v>0</v>
      </c>
      <c r="Z130" s="148" t="str">
        <f ca="1">IF(TEXT(Table10[[#This Row],[dates]], "ddd")="Mon", 999999999, "")</f>
        <v/>
      </c>
      <c r="AA130" s="148" t="str">
        <f ca="1">IF(TODAY()=Table10[[#This Row],[dates]], TEXT(DATE(2019, MONTH(Table10[[#This Row],[dates]]), 1), "mmm"), IFERROR(IF(MONTH(Table10[[#This Row],[dates]])&lt;&gt;MONTH(AC129), TEXT(DATE(2019, MONTH(Table10[[#This Row],[dates]]), 1), "mmm"), ""), ""))</f>
        <v/>
      </c>
      <c r="AB130" s="149">
        <f ca="1">DAY('Data Preparation'!$AC130)</f>
        <v>17</v>
      </c>
      <c r="AC130" s="150">
        <f t="shared" ref="AC130:AC161" ca="1" si="4">TODAY()+(ROW(AB130)-ROW($AB$2))</f>
        <v>43907</v>
      </c>
      <c r="AD13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0" s="136">
        <f ca="1">IFERROR(
IF(MONTH(Table10[[#This Row],[dates]])&lt;&gt;MONTH($AC129), Table10[[#This Row],[delta $]]+AE129-SUM(Bills3[Amount]), N("deducts other bills at the end of each month")+
IF(Table10[[#This Row],[delta $]]&lt;&gt;0, Table10[[#This Row],[delta $]]+AE129,
AE129)),
"")</f>
        <v>5060</v>
      </c>
      <c r="AF130" s="151">
        <f ca="1">Table10[[#This Row],[sum per date]]-IF(MONTH(Table10[[#This Row],[dates]])=MONTH(TODAY()),
SUMIF(Bills3[Paid?], "&lt;&gt;Y", Bills3[Amount]), SUM(Bills3[Amount]))</f>
        <v>4440</v>
      </c>
      <c r="AG130" s="136" t="e">
        <f ca="1">IF(AND(
Table10[[#This Row],[fluctuation]]=MIN(INDEX(Table10[fluctuation], MATCH(TODAY(),Table10[dates], 0)):INDEX(Table10[fluctuation], MATCH(end_date,Table10[dates], 0))),
OR(ISNA(INDEX($AF$2:AF129, MATCH(Table10[[#This Row],[fluctuation]], $AF$2:AF129, 0))), ROW(AG130)=2)),
Table10[[#This Row],[fluctuation]],
NA())</f>
        <v>#N/A</v>
      </c>
    </row>
    <row r="131" spans="22:33" x14ac:dyDescent="0.25">
      <c r="V131" s="129">
        <v>43899</v>
      </c>
      <c r="W131" s="1">
        <f>DAY(income_future[[#This Row],[dates]])</f>
        <v>9</v>
      </c>
      <c r="X131" s="130">
        <f ca="1">SUMIF(income_curr[mod( )], MOD(V131, 14), income_curr[income])</f>
        <v>0</v>
      </c>
      <c r="Z131" s="148" t="str">
        <f ca="1">IF(TEXT(Table10[[#This Row],[dates]], "ddd")="Mon", 999999999, "")</f>
        <v/>
      </c>
      <c r="AA131" s="148" t="str">
        <f ca="1">IF(TODAY()=Table10[[#This Row],[dates]], TEXT(DATE(2019, MONTH(Table10[[#This Row],[dates]]), 1), "mmm"), IFERROR(IF(MONTH(Table10[[#This Row],[dates]])&lt;&gt;MONTH(AC130), TEXT(DATE(2019, MONTH(Table10[[#This Row],[dates]]), 1), "mmm"), ""), ""))</f>
        <v/>
      </c>
      <c r="AB131" s="149">
        <f ca="1">DAY('Data Preparation'!$AC131)</f>
        <v>18</v>
      </c>
      <c r="AC131" s="150">
        <f t="shared" ca="1" si="4"/>
        <v>43908</v>
      </c>
      <c r="AD13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1" s="136">
        <f ca="1">IFERROR(
IF(MONTH(Table10[[#This Row],[dates]])&lt;&gt;MONTH($AC130), Table10[[#This Row],[delta $]]+AE130-SUM(Bills3[Amount]), N("deducts other bills at the end of each month")+
IF(Table10[[#This Row],[delta $]]&lt;&gt;0, Table10[[#This Row],[delta $]]+AE130,
AE130)),
"")</f>
        <v>5060</v>
      </c>
      <c r="AF131" s="151">
        <f ca="1">Table10[[#This Row],[sum per date]]-IF(MONTH(Table10[[#This Row],[dates]])=MONTH(TODAY()),
SUMIF(Bills3[Paid?], "&lt;&gt;Y", Bills3[Amount]), SUM(Bills3[Amount]))</f>
        <v>4440</v>
      </c>
      <c r="AG131" s="136" t="e">
        <f ca="1">IF(AND(
Table10[[#This Row],[fluctuation]]=MIN(INDEX(Table10[fluctuation], MATCH(TODAY(),Table10[dates], 0)):INDEX(Table10[fluctuation], MATCH(end_date,Table10[dates], 0))),
OR(ISNA(INDEX($AF$2:AF130, MATCH(Table10[[#This Row],[fluctuation]], $AF$2:AF130, 0))), ROW(AG131)=2)),
Table10[[#This Row],[fluctuation]],
NA())</f>
        <v>#N/A</v>
      </c>
    </row>
    <row r="132" spans="22:33" x14ac:dyDescent="0.25">
      <c r="V132" s="129">
        <v>43900</v>
      </c>
      <c r="W132" s="1">
        <f>DAY(income_future[[#This Row],[dates]])</f>
        <v>10</v>
      </c>
      <c r="X132" s="130">
        <f ca="1">SUMIF(income_curr[mod( )], MOD(V132, 14), income_curr[income])</f>
        <v>0</v>
      </c>
      <c r="Z132" s="148" t="str">
        <f ca="1">IF(TEXT(Table10[[#This Row],[dates]], "ddd")="Mon", 999999999, "")</f>
        <v/>
      </c>
      <c r="AA132" s="148" t="str">
        <f ca="1">IF(TODAY()=Table10[[#This Row],[dates]], TEXT(DATE(2019, MONTH(Table10[[#This Row],[dates]]), 1), "mmm"), IFERROR(IF(MONTH(Table10[[#This Row],[dates]])&lt;&gt;MONTH(AC131), TEXT(DATE(2019, MONTH(Table10[[#This Row],[dates]]), 1), "mmm"), ""), ""))</f>
        <v/>
      </c>
      <c r="AB132" s="149">
        <f ca="1">DAY('Data Preparation'!$AC132)</f>
        <v>19</v>
      </c>
      <c r="AC132" s="150">
        <f t="shared" ca="1" si="4"/>
        <v>43909</v>
      </c>
      <c r="AD13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2" s="136">
        <f ca="1">IFERROR(
IF(MONTH(Table10[[#This Row],[dates]])&lt;&gt;MONTH($AC131), Table10[[#This Row],[delta $]]+AE131-SUM(Bills3[Amount]), N("deducts other bills at the end of each month")+
IF(Table10[[#This Row],[delta $]]&lt;&gt;0, Table10[[#This Row],[delta $]]+AE131,
AE131)),
"")</f>
        <v>5060</v>
      </c>
      <c r="AF132" s="151">
        <f ca="1">Table10[[#This Row],[sum per date]]-IF(MONTH(Table10[[#This Row],[dates]])=MONTH(TODAY()),
SUMIF(Bills3[Paid?], "&lt;&gt;Y", Bills3[Amount]), SUM(Bills3[Amount]))</f>
        <v>4440</v>
      </c>
      <c r="AG132" s="136" t="e">
        <f ca="1">IF(AND(
Table10[[#This Row],[fluctuation]]=MIN(INDEX(Table10[fluctuation], MATCH(TODAY(),Table10[dates], 0)):INDEX(Table10[fluctuation], MATCH(end_date,Table10[dates], 0))),
OR(ISNA(INDEX($AF$2:AF131, MATCH(Table10[[#This Row],[fluctuation]], $AF$2:AF131, 0))), ROW(AG132)=2)),
Table10[[#This Row],[fluctuation]],
NA())</f>
        <v>#N/A</v>
      </c>
    </row>
    <row r="133" spans="22:33" x14ac:dyDescent="0.25">
      <c r="V133" s="129">
        <v>43901</v>
      </c>
      <c r="W133" s="1">
        <f>DAY(income_future[[#This Row],[dates]])</f>
        <v>11</v>
      </c>
      <c r="X133" s="130">
        <f ca="1">SUMIF(income_curr[mod( )], MOD(V133, 14), income_curr[income])</f>
        <v>0</v>
      </c>
      <c r="Z133" s="148" t="str">
        <f ca="1">IF(TEXT(Table10[[#This Row],[dates]], "ddd")="Mon", 999999999, "")</f>
        <v/>
      </c>
      <c r="AA133" s="148" t="str">
        <f ca="1">IF(TODAY()=Table10[[#This Row],[dates]], TEXT(DATE(2019, MONTH(Table10[[#This Row],[dates]]), 1), "mmm"), IFERROR(IF(MONTH(Table10[[#This Row],[dates]])&lt;&gt;MONTH(AC132), TEXT(DATE(2019, MONTH(Table10[[#This Row],[dates]]), 1), "mmm"), ""), ""))</f>
        <v/>
      </c>
      <c r="AB133" s="149">
        <f ca="1">DAY('Data Preparation'!$AC133)</f>
        <v>20</v>
      </c>
      <c r="AC133" s="150">
        <f t="shared" ca="1" si="4"/>
        <v>43910</v>
      </c>
      <c r="AD13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3" s="136">
        <f ca="1">IFERROR(
IF(MONTH(Table10[[#This Row],[dates]])&lt;&gt;MONTH($AC132), Table10[[#This Row],[delta $]]+AE132-SUM(Bills3[Amount]), N("deducts other bills at the end of each month")+
IF(Table10[[#This Row],[delta $]]&lt;&gt;0, Table10[[#This Row],[delta $]]+AE132,
AE132)),
"")</f>
        <v>5060</v>
      </c>
      <c r="AF133" s="151">
        <f ca="1">Table10[[#This Row],[sum per date]]-IF(MONTH(Table10[[#This Row],[dates]])=MONTH(TODAY()),
SUMIF(Bills3[Paid?], "&lt;&gt;Y", Bills3[Amount]), SUM(Bills3[Amount]))</f>
        <v>4440</v>
      </c>
      <c r="AG133" s="136" t="e">
        <f ca="1">IF(AND(
Table10[[#This Row],[fluctuation]]=MIN(INDEX(Table10[fluctuation], MATCH(TODAY(),Table10[dates], 0)):INDEX(Table10[fluctuation], MATCH(end_date,Table10[dates], 0))),
OR(ISNA(INDEX($AF$2:AF132, MATCH(Table10[[#This Row],[fluctuation]], $AF$2:AF132, 0))), ROW(AG133)=2)),
Table10[[#This Row],[fluctuation]],
NA())</f>
        <v>#N/A</v>
      </c>
    </row>
    <row r="134" spans="22:33" x14ac:dyDescent="0.25">
      <c r="V134" s="129">
        <v>43902</v>
      </c>
      <c r="W134" s="1">
        <f>DAY(income_future[[#This Row],[dates]])</f>
        <v>12</v>
      </c>
      <c r="X134" s="130">
        <f ca="1">SUMIF(income_curr[mod( )], MOD(V134, 14), income_curr[income])</f>
        <v>0</v>
      </c>
      <c r="Z134" s="148" t="str">
        <f ca="1">IF(TEXT(Table10[[#This Row],[dates]], "ddd")="Mon", 999999999, "")</f>
        <v/>
      </c>
      <c r="AA134" s="148" t="str">
        <f ca="1">IF(TODAY()=Table10[[#This Row],[dates]], TEXT(DATE(2019, MONTH(Table10[[#This Row],[dates]]), 1), "mmm"), IFERROR(IF(MONTH(Table10[[#This Row],[dates]])&lt;&gt;MONTH(AC133), TEXT(DATE(2019, MONTH(Table10[[#This Row],[dates]]), 1), "mmm"), ""), ""))</f>
        <v/>
      </c>
      <c r="AB134" s="149">
        <f ca="1">DAY('Data Preparation'!$AC134)</f>
        <v>21</v>
      </c>
      <c r="AC134" s="150">
        <f t="shared" ca="1" si="4"/>
        <v>43911</v>
      </c>
      <c r="AD13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34" s="136">
        <f ca="1">IFERROR(
IF(MONTH(Table10[[#This Row],[dates]])&lt;&gt;MONTH($AC133), Table10[[#This Row],[delta $]]+AE133-SUM(Bills3[Amount]), N("deducts other bills at the end of each month")+
IF(Table10[[#This Row],[delta $]]&lt;&gt;0, Table10[[#This Row],[delta $]]+AE133,
AE133)),
"")</f>
        <v>6060</v>
      </c>
      <c r="AF134" s="151">
        <f ca="1">Table10[[#This Row],[sum per date]]-IF(MONTH(Table10[[#This Row],[dates]])=MONTH(TODAY()),
SUMIF(Bills3[Paid?], "&lt;&gt;Y", Bills3[Amount]), SUM(Bills3[Amount]))</f>
        <v>5440</v>
      </c>
      <c r="AG134" s="136" t="e">
        <f ca="1">IF(AND(
Table10[[#This Row],[fluctuation]]=MIN(INDEX(Table10[fluctuation], MATCH(TODAY(),Table10[dates], 0)):INDEX(Table10[fluctuation], MATCH(end_date,Table10[dates], 0))),
OR(ISNA(INDEX($AF$2:AF133, MATCH(Table10[[#This Row],[fluctuation]], $AF$2:AF133, 0))), ROW(AG134)=2)),
Table10[[#This Row],[fluctuation]],
NA())</f>
        <v>#N/A</v>
      </c>
    </row>
    <row r="135" spans="22:33" x14ac:dyDescent="0.25">
      <c r="V135" s="129">
        <v>43903</v>
      </c>
      <c r="W135" s="1">
        <f>DAY(income_future[[#This Row],[dates]])</f>
        <v>13</v>
      </c>
      <c r="X135" s="130">
        <f ca="1">SUMIF(income_curr[mod( )], MOD(V135, 14), income_curr[income])</f>
        <v>0</v>
      </c>
      <c r="Z135" s="148" t="str">
        <f ca="1">IF(TEXT(Table10[[#This Row],[dates]], "ddd")="Mon", 999999999, "")</f>
        <v/>
      </c>
      <c r="AA135" s="148" t="str">
        <f ca="1">IF(TODAY()=Table10[[#This Row],[dates]], TEXT(DATE(2019, MONTH(Table10[[#This Row],[dates]]), 1), "mmm"), IFERROR(IF(MONTH(Table10[[#This Row],[dates]])&lt;&gt;MONTH(AC134), TEXT(DATE(2019, MONTH(Table10[[#This Row],[dates]]), 1), "mmm"), ""), ""))</f>
        <v/>
      </c>
      <c r="AB135" s="149">
        <f ca="1">DAY('Data Preparation'!$AC135)</f>
        <v>22</v>
      </c>
      <c r="AC135" s="150">
        <f t="shared" ca="1" si="4"/>
        <v>43912</v>
      </c>
      <c r="AD13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5" s="136">
        <f ca="1">IFERROR(
IF(MONTH(Table10[[#This Row],[dates]])&lt;&gt;MONTH($AC134), Table10[[#This Row],[delta $]]+AE134-SUM(Bills3[Amount]), N("deducts other bills at the end of each month")+
IF(Table10[[#This Row],[delta $]]&lt;&gt;0, Table10[[#This Row],[delta $]]+AE134,
AE134)),
"")</f>
        <v>6060</v>
      </c>
      <c r="AF135" s="151">
        <f ca="1">Table10[[#This Row],[sum per date]]-IF(MONTH(Table10[[#This Row],[dates]])=MONTH(TODAY()),
SUMIF(Bills3[Paid?], "&lt;&gt;Y", Bills3[Amount]), SUM(Bills3[Amount]))</f>
        <v>5440</v>
      </c>
      <c r="AG135" s="136" t="e">
        <f ca="1">IF(AND(
Table10[[#This Row],[fluctuation]]=MIN(INDEX(Table10[fluctuation], MATCH(TODAY(),Table10[dates], 0)):INDEX(Table10[fluctuation], MATCH(end_date,Table10[dates], 0))),
OR(ISNA(INDEX($AF$2:AF134, MATCH(Table10[[#This Row],[fluctuation]], $AF$2:AF134, 0))), ROW(AG135)=2)),
Table10[[#This Row],[fluctuation]],
NA())</f>
        <v>#N/A</v>
      </c>
    </row>
    <row r="136" spans="22:33" x14ac:dyDescent="0.25">
      <c r="V136" s="129">
        <v>43904</v>
      </c>
      <c r="W136" s="1">
        <f>DAY(income_future[[#This Row],[dates]])</f>
        <v>14</v>
      </c>
      <c r="X136" s="130">
        <f ca="1">SUMIF(income_curr[mod( )], MOD(V136, 14), income_curr[income])</f>
        <v>0</v>
      </c>
      <c r="Z136" s="148">
        <f ca="1">IF(TEXT(Table10[[#This Row],[dates]], "ddd")="Mon", 999999999, "")</f>
        <v>999999999</v>
      </c>
      <c r="AA136" s="148" t="str">
        <f ca="1">IF(TODAY()=Table10[[#This Row],[dates]], TEXT(DATE(2019, MONTH(Table10[[#This Row],[dates]]), 1), "mmm"), IFERROR(IF(MONTH(Table10[[#This Row],[dates]])&lt;&gt;MONTH(AC135), TEXT(DATE(2019, MONTH(Table10[[#This Row],[dates]]), 1), "mmm"), ""), ""))</f>
        <v/>
      </c>
      <c r="AB136" s="149">
        <f ca="1">DAY('Data Preparation'!$AC136)</f>
        <v>23</v>
      </c>
      <c r="AC136" s="150">
        <f t="shared" ca="1" si="4"/>
        <v>43913</v>
      </c>
      <c r="AD13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6" s="136">
        <f ca="1">IFERROR(
IF(MONTH(Table10[[#This Row],[dates]])&lt;&gt;MONTH($AC135), Table10[[#This Row],[delta $]]+AE135-SUM(Bills3[Amount]), N("deducts other bills at the end of each month")+
IF(Table10[[#This Row],[delta $]]&lt;&gt;0, Table10[[#This Row],[delta $]]+AE135,
AE135)),
"")</f>
        <v>6060</v>
      </c>
      <c r="AF136" s="151">
        <f ca="1">Table10[[#This Row],[sum per date]]-IF(MONTH(Table10[[#This Row],[dates]])=MONTH(TODAY()),
SUMIF(Bills3[Paid?], "&lt;&gt;Y", Bills3[Amount]), SUM(Bills3[Amount]))</f>
        <v>5440</v>
      </c>
      <c r="AG136" s="136" t="e">
        <f ca="1">IF(AND(
Table10[[#This Row],[fluctuation]]=MIN(INDEX(Table10[fluctuation], MATCH(TODAY(),Table10[dates], 0)):INDEX(Table10[fluctuation], MATCH(end_date,Table10[dates], 0))),
OR(ISNA(INDEX($AF$2:AF135, MATCH(Table10[[#This Row],[fluctuation]], $AF$2:AF135, 0))), ROW(AG136)=2)),
Table10[[#This Row],[fluctuation]],
NA())</f>
        <v>#N/A</v>
      </c>
    </row>
    <row r="137" spans="22:33" x14ac:dyDescent="0.25">
      <c r="V137" s="129">
        <v>43905</v>
      </c>
      <c r="W137" s="1">
        <f>DAY(income_future[[#This Row],[dates]])</f>
        <v>15</v>
      </c>
      <c r="X137" s="130">
        <f ca="1">SUMIF(income_curr[mod( )], MOD(V137, 14), income_curr[income])</f>
        <v>0</v>
      </c>
      <c r="Z137" s="148" t="str">
        <f ca="1">IF(TEXT(Table10[[#This Row],[dates]], "ddd")="Mon", 999999999, "")</f>
        <v/>
      </c>
      <c r="AA137" s="148" t="str">
        <f ca="1">IF(TODAY()=Table10[[#This Row],[dates]], TEXT(DATE(2019, MONTH(Table10[[#This Row],[dates]]), 1), "mmm"), IFERROR(IF(MONTH(Table10[[#This Row],[dates]])&lt;&gt;MONTH(AC136), TEXT(DATE(2019, MONTH(Table10[[#This Row],[dates]]), 1), "mmm"), ""), ""))</f>
        <v/>
      </c>
      <c r="AB137" s="149">
        <f ca="1">DAY('Data Preparation'!$AC137)</f>
        <v>24</v>
      </c>
      <c r="AC137" s="150">
        <f t="shared" ca="1" si="4"/>
        <v>43914</v>
      </c>
      <c r="AD13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7" s="136">
        <f ca="1">IFERROR(
IF(MONTH(Table10[[#This Row],[dates]])&lt;&gt;MONTH($AC136), Table10[[#This Row],[delta $]]+AE136-SUM(Bills3[Amount]), N("deducts other bills at the end of each month")+
IF(Table10[[#This Row],[delta $]]&lt;&gt;0, Table10[[#This Row],[delta $]]+AE136,
AE136)),
"")</f>
        <v>6060</v>
      </c>
      <c r="AF137" s="151">
        <f ca="1">Table10[[#This Row],[sum per date]]-IF(MONTH(Table10[[#This Row],[dates]])=MONTH(TODAY()),
SUMIF(Bills3[Paid?], "&lt;&gt;Y", Bills3[Amount]), SUM(Bills3[Amount]))</f>
        <v>5440</v>
      </c>
      <c r="AG137" s="136" t="e">
        <f ca="1">IF(AND(
Table10[[#This Row],[fluctuation]]=MIN(INDEX(Table10[fluctuation], MATCH(TODAY(),Table10[dates], 0)):INDEX(Table10[fluctuation], MATCH(end_date,Table10[dates], 0))),
OR(ISNA(INDEX($AF$2:AF136, MATCH(Table10[[#This Row],[fluctuation]], $AF$2:AF136, 0))), ROW(AG137)=2)),
Table10[[#This Row],[fluctuation]],
NA())</f>
        <v>#N/A</v>
      </c>
    </row>
    <row r="138" spans="22:33" x14ac:dyDescent="0.25">
      <c r="V138" s="129">
        <v>43906</v>
      </c>
      <c r="W138" s="1">
        <f>DAY(income_future[[#This Row],[dates]])</f>
        <v>16</v>
      </c>
      <c r="X138" s="130">
        <f ca="1">SUMIF(income_curr[mod( )], MOD(V138, 14), income_curr[income])</f>
        <v>0</v>
      </c>
      <c r="Z138" s="148" t="str">
        <f ca="1">IF(TEXT(Table10[[#This Row],[dates]], "ddd")="Mon", 999999999, "")</f>
        <v/>
      </c>
      <c r="AA138" s="148" t="str">
        <f ca="1">IF(TODAY()=Table10[[#This Row],[dates]], TEXT(DATE(2019, MONTH(Table10[[#This Row],[dates]]), 1), "mmm"), IFERROR(IF(MONTH(Table10[[#This Row],[dates]])&lt;&gt;MONTH(AC137), TEXT(DATE(2019, MONTH(Table10[[#This Row],[dates]]), 1), "mmm"), ""), ""))</f>
        <v/>
      </c>
      <c r="AB138" s="149">
        <f ca="1">DAY('Data Preparation'!$AC138)</f>
        <v>25</v>
      </c>
      <c r="AC138" s="150">
        <f t="shared" ca="1" si="4"/>
        <v>43915</v>
      </c>
      <c r="AD13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8" s="136">
        <f ca="1">IFERROR(
IF(MONTH(Table10[[#This Row],[dates]])&lt;&gt;MONTH($AC137), Table10[[#This Row],[delta $]]+AE137-SUM(Bills3[Amount]), N("deducts other bills at the end of each month")+
IF(Table10[[#This Row],[delta $]]&lt;&gt;0, Table10[[#This Row],[delta $]]+AE137,
AE137)),
"")</f>
        <v>6060</v>
      </c>
      <c r="AF138" s="151">
        <f ca="1">Table10[[#This Row],[sum per date]]-IF(MONTH(Table10[[#This Row],[dates]])=MONTH(TODAY()),
SUMIF(Bills3[Paid?], "&lt;&gt;Y", Bills3[Amount]), SUM(Bills3[Amount]))</f>
        <v>5440</v>
      </c>
      <c r="AG138" s="136" t="e">
        <f ca="1">IF(AND(
Table10[[#This Row],[fluctuation]]=MIN(INDEX(Table10[fluctuation], MATCH(TODAY(),Table10[dates], 0)):INDEX(Table10[fluctuation], MATCH(end_date,Table10[dates], 0))),
OR(ISNA(INDEX($AF$2:AF137, MATCH(Table10[[#This Row],[fluctuation]], $AF$2:AF137, 0))), ROW(AG138)=2)),
Table10[[#This Row],[fluctuation]],
NA())</f>
        <v>#N/A</v>
      </c>
    </row>
    <row r="139" spans="22:33" x14ac:dyDescent="0.25">
      <c r="V139" s="129">
        <v>43907</v>
      </c>
      <c r="W139" s="1">
        <f>DAY(income_future[[#This Row],[dates]])</f>
        <v>17</v>
      </c>
      <c r="X139" s="130">
        <f ca="1">SUMIF(income_curr[mod( )], MOD(V139, 14), income_curr[income])</f>
        <v>0</v>
      </c>
      <c r="Z139" s="148" t="str">
        <f ca="1">IF(TEXT(Table10[[#This Row],[dates]], "ddd")="Mon", 999999999, "")</f>
        <v/>
      </c>
      <c r="AA139" s="148" t="str">
        <f ca="1">IF(TODAY()=Table10[[#This Row],[dates]], TEXT(DATE(2019, MONTH(Table10[[#This Row],[dates]]), 1), "mmm"), IFERROR(IF(MONTH(Table10[[#This Row],[dates]])&lt;&gt;MONTH(AC138), TEXT(DATE(2019, MONTH(Table10[[#This Row],[dates]]), 1), "mmm"), ""), ""))</f>
        <v/>
      </c>
      <c r="AB139" s="149">
        <f ca="1">DAY('Data Preparation'!$AC139)</f>
        <v>26</v>
      </c>
      <c r="AC139" s="150">
        <f t="shared" ca="1" si="4"/>
        <v>43916</v>
      </c>
      <c r="AD13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39" s="136">
        <f ca="1">IFERROR(
IF(MONTH(Table10[[#This Row],[dates]])&lt;&gt;MONTH($AC138), Table10[[#This Row],[delta $]]+AE138-SUM(Bills3[Amount]), N("deducts other bills at the end of each month")+
IF(Table10[[#This Row],[delta $]]&lt;&gt;0, Table10[[#This Row],[delta $]]+AE138,
AE138)),
"")</f>
        <v>6060</v>
      </c>
      <c r="AF139" s="151">
        <f ca="1">Table10[[#This Row],[sum per date]]-IF(MONTH(Table10[[#This Row],[dates]])=MONTH(TODAY()),
SUMIF(Bills3[Paid?], "&lt;&gt;Y", Bills3[Amount]), SUM(Bills3[Amount]))</f>
        <v>5440</v>
      </c>
      <c r="AG139" s="136" t="e">
        <f ca="1">IF(AND(
Table10[[#This Row],[fluctuation]]=MIN(INDEX(Table10[fluctuation], MATCH(TODAY(),Table10[dates], 0)):INDEX(Table10[fluctuation], MATCH(end_date,Table10[dates], 0))),
OR(ISNA(INDEX($AF$2:AF138, MATCH(Table10[[#This Row],[fluctuation]], $AF$2:AF138, 0))), ROW(AG139)=2)),
Table10[[#This Row],[fluctuation]],
NA())</f>
        <v>#N/A</v>
      </c>
    </row>
    <row r="140" spans="22:33" x14ac:dyDescent="0.25">
      <c r="V140" s="129">
        <v>43908</v>
      </c>
      <c r="W140" s="1">
        <f>DAY(income_future[[#This Row],[dates]])</f>
        <v>18</v>
      </c>
      <c r="X140" s="130">
        <f ca="1">SUMIF(income_curr[mod( )], MOD(V140, 14), income_curr[income])</f>
        <v>0</v>
      </c>
      <c r="Z140" s="148" t="str">
        <f ca="1">IF(TEXT(Table10[[#This Row],[dates]], "ddd")="Mon", 999999999, "")</f>
        <v/>
      </c>
      <c r="AA140" s="148" t="str">
        <f ca="1">IF(TODAY()=Table10[[#This Row],[dates]], TEXT(DATE(2019, MONTH(Table10[[#This Row],[dates]]), 1), "mmm"), IFERROR(IF(MONTH(Table10[[#This Row],[dates]])&lt;&gt;MONTH(AC139), TEXT(DATE(2019, MONTH(Table10[[#This Row],[dates]]), 1), "mmm"), ""), ""))</f>
        <v/>
      </c>
      <c r="AB140" s="149">
        <f ca="1">DAY('Data Preparation'!$AC140)</f>
        <v>27</v>
      </c>
      <c r="AC140" s="150">
        <f t="shared" ca="1" si="4"/>
        <v>43917</v>
      </c>
      <c r="AD14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0" s="136">
        <f ca="1">IFERROR(
IF(MONTH(Table10[[#This Row],[dates]])&lt;&gt;MONTH($AC139), Table10[[#This Row],[delta $]]+AE139-SUM(Bills3[Amount]), N("deducts other bills at the end of each month")+
IF(Table10[[#This Row],[delta $]]&lt;&gt;0, Table10[[#This Row],[delta $]]+AE139,
AE139)),
"")</f>
        <v>6060</v>
      </c>
      <c r="AF140" s="151">
        <f ca="1">Table10[[#This Row],[sum per date]]-IF(MONTH(Table10[[#This Row],[dates]])=MONTH(TODAY()),
SUMIF(Bills3[Paid?], "&lt;&gt;Y", Bills3[Amount]), SUM(Bills3[Amount]))</f>
        <v>5440</v>
      </c>
      <c r="AG140" s="136" t="e">
        <f ca="1">IF(AND(
Table10[[#This Row],[fluctuation]]=MIN(INDEX(Table10[fluctuation], MATCH(TODAY(),Table10[dates], 0)):INDEX(Table10[fluctuation], MATCH(end_date,Table10[dates], 0))),
OR(ISNA(INDEX($AF$2:AF139, MATCH(Table10[[#This Row],[fluctuation]], $AF$2:AF139, 0))), ROW(AG140)=2)),
Table10[[#This Row],[fluctuation]],
NA())</f>
        <v>#N/A</v>
      </c>
    </row>
    <row r="141" spans="22:33" x14ac:dyDescent="0.25">
      <c r="V141" s="129">
        <v>43909</v>
      </c>
      <c r="W141" s="1">
        <f>DAY(income_future[[#This Row],[dates]])</f>
        <v>19</v>
      </c>
      <c r="X141" s="130">
        <f ca="1">SUMIF(income_curr[mod( )], MOD(V141, 14), income_curr[income])</f>
        <v>0</v>
      </c>
      <c r="Z141" s="148" t="str">
        <f ca="1">IF(TEXT(Table10[[#This Row],[dates]], "ddd")="Mon", 999999999, "")</f>
        <v/>
      </c>
      <c r="AA141" s="148" t="str">
        <f ca="1">IF(TODAY()=Table10[[#This Row],[dates]], TEXT(DATE(2019, MONTH(Table10[[#This Row],[dates]]), 1), "mmm"), IFERROR(IF(MONTH(Table10[[#This Row],[dates]])&lt;&gt;MONTH(AC140), TEXT(DATE(2019, MONTH(Table10[[#This Row],[dates]]), 1), "mmm"), ""), ""))</f>
        <v/>
      </c>
      <c r="AB141" s="149">
        <f ca="1">DAY('Data Preparation'!$AC141)</f>
        <v>28</v>
      </c>
      <c r="AC141" s="150">
        <f t="shared" ca="1" si="4"/>
        <v>43918</v>
      </c>
      <c r="AD14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1" s="136">
        <f ca="1">IFERROR(
IF(MONTH(Table10[[#This Row],[dates]])&lt;&gt;MONTH($AC140), Table10[[#This Row],[delta $]]+AE140-SUM(Bills3[Amount]), N("deducts other bills at the end of each month")+
IF(Table10[[#This Row],[delta $]]&lt;&gt;0, Table10[[#This Row],[delta $]]+AE140,
AE140)),
"")</f>
        <v>6060</v>
      </c>
      <c r="AF141" s="151">
        <f ca="1">Table10[[#This Row],[sum per date]]-IF(MONTH(Table10[[#This Row],[dates]])=MONTH(TODAY()),
SUMIF(Bills3[Paid?], "&lt;&gt;Y", Bills3[Amount]), SUM(Bills3[Amount]))</f>
        <v>5440</v>
      </c>
      <c r="AG141" s="136" t="e">
        <f ca="1">IF(AND(
Table10[[#This Row],[fluctuation]]=MIN(INDEX(Table10[fluctuation], MATCH(TODAY(),Table10[dates], 0)):INDEX(Table10[fluctuation], MATCH(end_date,Table10[dates], 0))),
OR(ISNA(INDEX($AF$2:AF140, MATCH(Table10[[#This Row],[fluctuation]], $AF$2:AF140, 0))), ROW(AG141)=2)),
Table10[[#This Row],[fluctuation]],
NA())</f>
        <v>#N/A</v>
      </c>
    </row>
    <row r="142" spans="22:33" x14ac:dyDescent="0.25">
      <c r="V142" s="129">
        <v>43910</v>
      </c>
      <c r="W142" s="1">
        <f>DAY(income_future[[#This Row],[dates]])</f>
        <v>20</v>
      </c>
      <c r="X142" s="130">
        <f ca="1">SUMIF(income_curr[mod( )], MOD(V142, 14), income_curr[income])</f>
        <v>0</v>
      </c>
      <c r="Z142" s="148" t="str">
        <f ca="1">IF(TEXT(Table10[[#This Row],[dates]], "ddd")="Mon", 999999999, "")</f>
        <v/>
      </c>
      <c r="AA142" s="148" t="str">
        <f ca="1">IF(TODAY()=Table10[[#This Row],[dates]], TEXT(DATE(2019, MONTH(Table10[[#This Row],[dates]]), 1), "mmm"), IFERROR(IF(MONTH(Table10[[#This Row],[dates]])&lt;&gt;MONTH(AC141), TEXT(DATE(2019, MONTH(Table10[[#This Row],[dates]]), 1), "mmm"), ""), ""))</f>
        <v/>
      </c>
      <c r="AB142" s="149">
        <f ca="1">DAY('Data Preparation'!$AC142)</f>
        <v>29</v>
      </c>
      <c r="AC142" s="150">
        <f t="shared" ca="1" si="4"/>
        <v>43919</v>
      </c>
      <c r="AD14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2" s="136">
        <f ca="1">IFERROR(
IF(MONTH(Table10[[#This Row],[dates]])&lt;&gt;MONTH($AC141), Table10[[#This Row],[delta $]]+AE141-SUM(Bills3[Amount]), N("deducts other bills at the end of each month")+
IF(Table10[[#This Row],[delta $]]&lt;&gt;0, Table10[[#This Row],[delta $]]+AE141,
AE141)),
"")</f>
        <v>6060</v>
      </c>
      <c r="AF142" s="151">
        <f ca="1">Table10[[#This Row],[sum per date]]-IF(MONTH(Table10[[#This Row],[dates]])=MONTH(TODAY()),
SUMIF(Bills3[Paid?], "&lt;&gt;Y", Bills3[Amount]), SUM(Bills3[Amount]))</f>
        <v>5440</v>
      </c>
      <c r="AG142" s="136" t="e">
        <f ca="1">IF(AND(
Table10[[#This Row],[fluctuation]]=MIN(INDEX(Table10[fluctuation], MATCH(TODAY(),Table10[dates], 0)):INDEX(Table10[fluctuation], MATCH(end_date,Table10[dates], 0))),
OR(ISNA(INDEX($AF$2:AF141, MATCH(Table10[[#This Row],[fluctuation]], $AF$2:AF141, 0))), ROW(AG142)=2)),
Table10[[#This Row],[fluctuation]],
NA())</f>
        <v>#N/A</v>
      </c>
    </row>
    <row r="143" spans="22:33" x14ac:dyDescent="0.25">
      <c r="V143" s="129">
        <v>43911</v>
      </c>
      <c r="W143" s="1">
        <f>DAY(income_future[[#This Row],[dates]])</f>
        <v>21</v>
      </c>
      <c r="X143" s="130">
        <f ca="1">SUMIF(income_curr[mod( )], MOD(V143, 14), income_curr[income])</f>
        <v>1000</v>
      </c>
      <c r="Z143" s="148">
        <f ca="1">IF(TEXT(Table10[[#This Row],[dates]], "ddd")="Mon", 999999999, "")</f>
        <v>999999999</v>
      </c>
      <c r="AA143" s="148" t="str">
        <f ca="1">IF(TODAY()=Table10[[#This Row],[dates]], TEXT(DATE(2019, MONTH(Table10[[#This Row],[dates]]), 1), "mmm"), IFERROR(IF(MONTH(Table10[[#This Row],[dates]])&lt;&gt;MONTH(AC142), TEXT(DATE(2019, MONTH(Table10[[#This Row],[dates]]), 1), "mmm"), ""), ""))</f>
        <v/>
      </c>
      <c r="AB143" s="149">
        <f ca="1">DAY('Data Preparation'!$AC143)</f>
        <v>30</v>
      </c>
      <c r="AC143" s="150">
        <f t="shared" ca="1" si="4"/>
        <v>43920</v>
      </c>
      <c r="AD14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3" s="136">
        <f ca="1">IFERROR(
IF(MONTH(Table10[[#This Row],[dates]])&lt;&gt;MONTH($AC142), Table10[[#This Row],[delta $]]+AE142-SUM(Bills3[Amount]), N("deducts other bills at the end of each month")+
IF(Table10[[#This Row],[delta $]]&lt;&gt;0, Table10[[#This Row],[delta $]]+AE142,
AE142)),
"")</f>
        <v>6060</v>
      </c>
      <c r="AF143" s="151">
        <f ca="1">Table10[[#This Row],[sum per date]]-IF(MONTH(Table10[[#This Row],[dates]])=MONTH(TODAY()),
SUMIF(Bills3[Paid?], "&lt;&gt;Y", Bills3[Amount]), SUM(Bills3[Amount]))</f>
        <v>5440</v>
      </c>
      <c r="AG143" s="136" t="e">
        <f ca="1">IF(AND(
Table10[[#This Row],[fluctuation]]=MIN(INDEX(Table10[fluctuation], MATCH(TODAY(),Table10[dates], 0)):INDEX(Table10[fluctuation], MATCH(end_date,Table10[dates], 0))),
OR(ISNA(INDEX($AF$2:AF142, MATCH(Table10[[#This Row],[fluctuation]], $AF$2:AF142, 0))), ROW(AG143)=2)),
Table10[[#This Row],[fluctuation]],
NA())</f>
        <v>#N/A</v>
      </c>
    </row>
    <row r="144" spans="22:33" x14ac:dyDescent="0.25">
      <c r="V144" s="129">
        <v>43912</v>
      </c>
      <c r="W144" s="1">
        <f>DAY(income_future[[#This Row],[dates]])</f>
        <v>22</v>
      </c>
      <c r="X144" s="130">
        <f ca="1">SUMIF(income_curr[mod( )], MOD(V144, 14), income_curr[income])</f>
        <v>0</v>
      </c>
      <c r="Z144" s="148" t="str">
        <f ca="1">IF(TEXT(Table10[[#This Row],[dates]], "ddd")="Mon", 999999999, "")</f>
        <v/>
      </c>
      <c r="AA144" s="148" t="str">
        <f ca="1">IF(TODAY()=Table10[[#This Row],[dates]], TEXT(DATE(2019, MONTH(Table10[[#This Row],[dates]]), 1), "mmm"), IFERROR(IF(MONTH(Table10[[#This Row],[dates]])&lt;&gt;MONTH(AC143), TEXT(DATE(2019, MONTH(Table10[[#This Row],[dates]]), 1), "mmm"), ""), ""))</f>
        <v/>
      </c>
      <c r="AB144" s="149">
        <f ca="1">DAY('Data Preparation'!$AC144)</f>
        <v>31</v>
      </c>
      <c r="AC144" s="150">
        <f t="shared" ca="1" si="4"/>
        <v>43921</v>
      </c>
      <c r="AD14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4" s="136">
        <f ca="1">IFERROR(
IF(MONTH(Table10[[#This Row],[dates]])&lt;&gt;MONTH($AC143), Table10[[#This Row],[delta $]]+AE143-SUM(Bills3[Amount]), N("deducts other bills at the end of each month")+
IF(Table10[[#This Row],[delta $]]&lt;&gt;0, Table10[[#This Row],[delta $]]+AE143,
AE143)),
"")</f>
        <v>6060</v>
      </c>
      <c r="AF144" s="151">
        <f ca="1">Table10[[#This Row],[sum per date]]-IF(MONTH(Table10[[#This Row],[dates]])=MONTH(TODAY()),
SUMIF(Bills3[Paid?], "&lt;&gt;Y", Bills3[Amount]), SUM(Bills3[Amount]))</f>
        <v>5440</v>
      </c>
      <c r="AG144" s="136" t="e">
        <f ca="1">IF(AND(
Table10[[#This Row],[fluctuation]]=MIN(INDEX(Table10[fluctuation], MATCH(TODAY(),Table10[dates], 0)):INDEX(Table10[fluctuation], MATCH(end_date,Table10[dates], 0))),
OR(ISNA(INDEX($AF$2:AF143, MATCH(Table10[[#This Row],[fluctuation]], $AF$2:AF143, 0))), ROW(AG144)=2)),
Table10[[#This Row],[fluctuation]],
NA())</f>
        <v>#N/A</v>
      </c>
    </row>
    <row r="145" spans="22:33" x14ac:dyDescent="0.25">
      <c r="V145" s="129">
        <v>43913</v>
      </c>
      <c r="W145" s="1">
        <f>DAY(income_future[[#This Row],[dates]])</f>
        <v>23</v>
      </c>
      <c r="X145" s="130">
        <f ca="1">SUMIF(income_curr[mod( )], MOD(V145, 14), income_curr[income])</f>
        <v>0</v>
      </c>
      <c r="Z145" s="148" t="str">
        <f ca="1">IF(TEXT(Table10[[#This Row],[dates]], "ddd")="Mon", 999999999, "")</f>
        <v/>
      </c>
      <c r="AA145" s="148" t="str">
        <f ca="1">IF(TODAY()=Table10[[#This Row],[dates]], TEXT(DATE(2019, MONTH(Table10[[#This Row],[dates]]), 1), "mmm"), IFERROR(IF(MONTH(Table10[[#This Row],[dates]])&lt;&gt;MONTH(AC144), TEXT(DATE(2019, MONTH(Table10[[#This Row],[dates]]), 1), "mmm"), ""), ""))</f>
        <v>Apr</v>
      </c>
      <c r="AB145" s="149">
        <f ca="1">DAY('Data Preparation'!$AC145)</f>
        <v>1</v>
      </c>
      <c r="AC145" s="150">
        <f t="shared" ca="1" si="4"/>
        <v>43922</v>
      </c>
      <c r="AD14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145" s="136">
        <f ca="1">IFERROR(
IF(MONTH(Table10[[#This Row],[dates]])&lt;&gt;MONTH($AC144), Table10[[#This Row],[delta $]]+AE144-SUM(Bills3[Amount]), N("deducts other bills at the end of each month")+
IF(Table10[[#This Row],[delta $]]&lt;&gt;0, Table10[[#This Row],[delta $]]+AE144,
AE144)),
"")</f>
        <v>4840</v>
      </c>
      <c r="AF145" s="151">
        <f ca="1">Table10[[#This Row],[sum per date]]-IF(MONTH(Table10[[#This Row],[dates]])=MONTH(TODAY()),
SUMIF(Bills3[Paid?], "&lt;&gt;Y", Bills3[Amount]), SUM(Bills3[Amount]))</f>
        <v>4220</v>
      </c>
      <c r="AG145" s="136" t="e">
        <f ca="1">IF(AND(
Table10[[#This Row],[fluctuation]]=MIN(INDEX(Table10[fluctuation], MATCH(TODAY(),Table10[dates], 0)):INDEX(Table10[fluctuation], MATCH(end_date,Table10[dates], 0))),
OR(ISNA(INDEX($AF$2:AF144, MATCH(Table10[[#This Row],[fluctuation]], $AF$2:AF144, 0))), ROW(AG145)=2)),
Table10[[#This Row],[fluctuation]],
NA())</f>
        <v>#N/A</v>
      </c>
    </row>
    <row r="146" spans="22:33" x14ac:dyDescent="0.25">
      <c r="V146" s="129">
        <v>43914</v>
      </c>
      <c r="W146" s="1">
        <f>DAY(income_future[[#This Row],[dates]])</f>
        <v>24</v>
      </c>
      <c r="X146" s="130">
        <f ca="1">SUMIF(income_curr[mod( )], MOD(V146, 14), income_curr[income])</f>
        <v>0</v>
      </c>
      <c r="Z146" s="148" t="str">
        <f ca="1">IF(TEXT(Table10[[#This Row],[dates]], "ddd")="Mon", 999999999, "")</f>
        <v/>
      </c>
      <c r="AA146" s="148" t="str">
        <f ca="1">IF(TODAY()=Table10[[#This Row],[dates]], TEXT(DATE(2019, MONTH(Table10[[#This Row],[dates]]), 1), "mmm"), IFERROR(IF(MONTH(Table10[[#This Row],[dates]])&lt;&gt;MONTH(AC145), TEXT(DATE(2019, MONTH(Table10[[#This Row],[dates]]), 1), "mmm"), ""), ""))</f>
        <v/>
      </c>
      <c r="AB146" s="149">
        <f ca="1">DAY('Data Preparation'!$AC146)</f>
        <v>2</v>
      </c>
      <c r="AC146" s="150">
        <f t="shared" ca="1" si="4"/>
        <v>43923</v>
      </c>
      <c r="AD14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6" s="136">
        <f ca="1">IFERROR(
IF(MONTH(Table10[[#This Row],[dates]])&lt;&gt;MONTH($AC145), Table10[[#This Row],[delta $]]+AE145-SUM(Bills3[Amount]), N("deducts other bills at the end of each month")+
IF(Table10[[#This Row],[delta $]]&lt;&gt;0, Table10[[#This Row],[delta $]]+AE145,
AE145)),
"")</f>
        <v>4840</v>
      </c>
      <c r="AF146" s="151">
        <f ca="1">Table10[[#This Row],[sum per date]]-IF(MONTH(Table10[[#This Row],[dates]])=MONTH(TODAY()),
SUMIF(Bills3[Paid?], "&lt;&gt;Y", Bills3[Amount]), SUM(Bills3[Amount]))</f>
        <v>4220</v>
      </c>
      <c r="AG146" s="136" t="e">
        <f ca="1">IF(AND(
Table10[[#This Row],[fluctuation]]=MIN(INDEX(Table10[fluctuation], MATCH(TODAY(),Table10[dates], 0)):INDEX(Table10[fluctuation], MATCH(end_date,Table10[dates], 0))),
OR(ISNA(INDEX($AF$2:AF145, MATCH(Table10[[#This Row],[fluctuation]], $AF$2:AF145, 0))), ROW(AG146)=2)),
Table10[[#This Row],[fluctuation]],
NA())</f>
        <v>#N/A</v>
      </c>
    </row>
    <row r="147" spans="22:33" x14ac:dyDescent="0.25">
      <c r="V147" s="129">
        <v>43915</v>
      </c>
      <c r="W147" s="1">
        <f>DAY(income_future[[#This Row],[dates]])</f>
        <v>25</v>
      </c>
      <c r="X147" s="130">
        <f ca="1">SUMIF(income_curr[mod( )], MOD(V147, 14), income_curr[income])</f>
        <v>0</v>
      </c>
      <c r="Z147" s="148" t="str">
        <f ca="1">IF(TEXT(Table10[[#This Row],[dates]], "ddd")="Mon", 999999999, "")</f>
        <v/>
      </c>
      <c r="AA147" s="148" t="str">
        <f ca="1">IF(TODAY()=Table10[[#This Row],[dates]], TEXT(DATE(2019, MONTH(Table10[[#This Row],[dates]]), 1), "mmm"), IFERROR(IF(MONTH(Table10[[#This Row],[dates]])&lt;&gt;MONTH(AC146), TEXT(DATE(2019, MONTH(Table10[[#This Row],[dates]]), 1), "mmm"), ""), ""))</f>
        <v/>
      </c>
      <c r="AB147" s="149">
        <f ca="1">DAY('Data Preparation'!$AC147)</f>
        <v>3</v>
      </c>
      <c r="AC147" s="150">
        <f t="shared" ca="1" si="4"/>
        <v>43924</v>
      </c>
      <c r="AD14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7" s="136">
        <f ca="1">IFERROR(
IF(MONTH(Table10[[#This Row],[dates]])&lt;&gt;MONTH($AC146), Table10[[#This Row],[delta $]]+AE146-SUM(Bills3[Amount]), N("deducts other bills at the end of each month")+
IF(Table10[[#This Row],[delta $]]&lt;&gt;0, Table10[[#This Row],[delta $]]+AE146,
AE146)),
"")</f>
        <v>4840</v>
      </c>
      <c r="AF147" s="151">
        <f ca="1">Table10[[#This Row],[sum per date]]-IF(MONTH(Table10[[#This Row],[dates]])=MONTH(TODAY()),
SUMIF(Bills3[Paid?], "&lt;&gt;Y", Bills3[Amount]), SUM(Bills3[Amount]))</f>
        <v>4220</v>
      </c>
      <c r="AG147" s="136" t="e">
        <f ca="1">IF(AND(
Table10[[#This Row],[fluctuation]]=MIN(INDEX(Table10[fluctuation], MATCH(TODAY(),Table10[dates], 0)):INDEX(Table10[fluctuation], MATCH(end_date,Table10[dates], 0))),
OR(ISNA(INDEX($AF$2:AF146, MATCH(Table10[[#This Row],[fluctuation]], $AF$2:AF146, 0))), ROW(AG147)=2)),
Table10[[#This Row],[fluctuation]],
NA())</f>
        <v>#N/A</v>
      </c>
    </row>
    <row r="148" spans="22:33" x14ac:dyDescent="0.25">
      <c r="V148" s="129">
        <v>43916</v>
      </c>
      <c r="W148" s="1">
        <f>DAY(income_future[[#This Row],[dates]])</f>
        <v>26</v>
      </c>
      <c r="X148" s="130">
        <f ca="1">SUMIF(income_curr[mod( )], MOD(V148, 14), income_curr[income])</f>
        <v>0</v>
      </c>
      <c r="Z148" s="148" t="str">
        <f ca="1">IF(TEXT(Table10[[#This Row],[dates]], "ddd")="Mon", 999999999, "")</f>
        <v/>
      </c>
      <c r="AA148" s="148" t="str">
        <f ca="1">IF(TODAY()=Table10[[#This Row],[dates]], TEXT(DATE(2019, MONTH(Table10[[#This Row],[dates]]), 1), "mmm"), IFERROR(IF(MONTH(Table10[[#This Row],[dates]])&lt;&gt;MONTH(AC147), TEXT(DATE(2019, MONTH(Table10[[#This Row],[dates]]), 1), "mmm"), ""), ""))</f>
        <v/>
      </c>
      <c r="AB148" s="149">
        <f ca="1">DAY('Data Preparation'!$AC148)</f>
        <v>4</v>
      </c>
      <c r="AC148" s="150">
        <f t="shared" ca="1" si="4"/>
        <v>43925</v>
      </c>
      <c r="AD14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48" s="136">
        <f ca="1">IFERROR(
IF(MONTH(Table10[[#This Row],[dates]])&lt;&gt;MONTH($AC147), Table10[[#This Row],[delta $]]+AE147-SUM(Bills3[Amount]), N("deducts other bills at the end of each month")+
IF(Table10[[#This Row],[delta $]]&lt;&gt;0, Table10[[#This Row],[delta $]]+AE147,
AE147)),
"")</f>
        <v>5840</v>
      </c>
      <c r="AF148" s="151">
        <f ca="1">Table10[[#This Row],[sum per date]]-IF(MONTH(Table10[[#This Row],[dates]])=MONTH(TODAY()),
SUMIF(Bills3[Paid?], "&lt;&gt;Y", Bills3[Amount]), SUM(Bills3[Amount]))</f>
        <v>5220</v>
      </c>
      <c r="AG148" s="136" t="e">
        <f ca="1">IF(AND(
Table10[[#This Row],[fluctuation]]=MIN(INDEX(Table10[fluctuation], MATCH(TODAY(),Table10[dates], 0)):INDEX(Table10[fluctuation], MATCH(end_date,Table10[dates], 0))),
OR(ISNA(INDEX($AF$2:AF147, MATCH(Table10[[#This Row],[fluctuation]], $AF$2:AF147, 0))), ROW(AG148)=2)),
Table10[[#This Row],[fluctuation]],
NA())</f>
        <v>#N/A</v>
      </c>
    </row>
    <row r="149" spans="22:33" x14ac:dyDescent="0.25">
      <c r="V149" s="129">
        <v>43917</v>
      </c>
      <c r="W149" s="1">
        <f>DAY(income_future[[#This Row],[dates]])</f>
        <v>27</v>
      </c>
      <c r="X149" s="130">
        <f ca="1">SUMIF(income_curr[mod( )], MOD(V149, 14), income_curr[income])</f>
        <v>0</v>
      </c>
      <c r="Z149" s="148" t="str">
        <f ca="1">IF(TEXT(Table10[[#This Row],[dates]], "ddd")="Mon", 999999999, "")</f>
        <v/>
      </c>
      <c r="AA149" s="148" t="str">
        <f ca="1">IF(TODAY()=Table10[[#This Row],[dates]], TEXT(DATE(2019, MONTH(Table10[[#This Row],[dates]]), 1), "mmm"), IFERROR(IF(MONTH(Table10[[#This Row],[dates]])&lt;&gt;MONTH(AC148), TEXT(DATE(2019, MONTH(Table10[[#This Row],[dates]]), 1), "mmm"), ""), ""))</f>
        <v/>
      </c>
      <c r="AB149" s="149">
        <f ca="1">DAY('Data Preparation'!$AC149)</f>
        <v>5</v>
      </c>
      <c r="AC149" s="150">
        <f t="shared" ca="1" si="4"/>
        <v>43926</v>
      </c>
      <c r="AD14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49" s="136">
        <f ca="1">IFERROR(
IF(MONTH(Table10[[#This Row],[dates]])&lt;&gt;MONTH($AC148), Table10[[#This Row],[delta $]]+AE148-SUM(Bills3[Amount]), N("deducts other bills at the end of each month")+
IF(Table10[[#This Row],[delta $]]&lt;&gt;0, Table10[[#This Row],[delta $]]+AE148,
AE148)),
"")</f>
        <v>5840</v>
      </c>
      <c r="AF149" s="151">
        <f ca="1">Table10[[#This Row],[sum per date]]-IF(MONTH(Table10[[#This Row],[dates]])=MONTH(TODAY()),
SUMIF(Bills3[Paid?], "&lt;&gt;Y", Bills3[Amount]), SUM(Bills3[Amount]))</f>
        <v>5220</v>
      </c>
      <c r="AG149" s="136" t="e">
        <f ca="1">IF(AND(
Table10[[#This Row],[fluctuation]]=MIN(INDEX(Table10[fluctuation], MATCH(TODAY(),Table10[dates], 0)):INDEX(Table10[fluctuation], MATCH(end_date,Table10[dates], 0))),
OR(ISNA(INDEX($AF$2:AF148, MATCH(Table10[[#This Row],[fluctuation]], $AF$2:AF148, 0))), ROW(AG149)=2)),
Table10[[#This Row],[fluctuation]],
NA())</f>
        <v>#N/A</v>
      </c>
    </row>
    <row r="150" spans="22:33" x14ac:dyDescent="0.25">
      <c r="V150" s="129">
        <v>43918</v>
      </c>
      <c r="W150" s="1">
        <f>DAY(income_future[[#This Row],[dates]])</f>
        <v>28</v>
      </c>
      <c r="X150" s="130">
        <f ca="1">SUMIF(income_curr[mod( )], MOD(V150, 14), income_curr[income])</f>
        <v>0</v>
      </c>
      <c r="Z150" s="148">
        <f ca="1">IF(TEXT(Table10[[#This Row],[dates]], "ddd")="Mon", 999999999, "")</f>
        <v>999999999</v>
      </c>
      <c r="AA150" s="148" t="str">
        <f ca="1">IF(TODAY()=Table10[[#This Row],[dates]], TEXT(DATE(2019, MONTH(Table10[[#This Row],[dates]]), 1), "mmm"), IFERROR(IF(MONTH(Table10[[#This Row],[dates]])&lt;&gt;MONTH(AC149), TEXT(DATE(2019, MONTH(Table10[[#This Row],[dates]]), 1), "mmm"), ""), ""))</f>
        <v/>
      </c>
      <c r="AB150" s="149">
        <f ca="1">DAY('Data Preparation'!$AC150)</f>
        <v>6</v>
      </c>
      <c r="AC150" s="150">
        <f t="shared" ca="1" si="4"/>
        <v>43927</v>
      </c>
      <c r="AD15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0" s="136">
        <f ca="1">IFERROR(
IF(MONTH(Table10[[#This Row],[dates]])&lt;&gt;MONTH($AC149), Table10[[#This Row],[delta $]]+AE149-SUM(Bills3[Amount]), N("deducts other bills at the end of each month")+
IF(Table10[[#This Row],[delta $]]&lt;&gt;0, Table10[[#This Row],[delta $]]+AE149,
AE149)),
"")</f>
        <v>5840</v>
      </c>
      <c r="AF150" s="151">
        <f ca="1">Table10[[#This Row],[sum per date]]-IF(MONTH(Table10[[#This Row],[dates]])=MONTH(TODAY()),
SUMIF(Bills3[Paid?], "&lt;&gt;Y", Bills3[Amount]), SUM(Bills3[Amount]))</f>
        <v>5220</v>
      </c>
      <c r="AG150" s="136" t="e">
        <f ca="1">IF(AND(
Table10[[#This Row],[fluctuation]]=MIN(INDEX(Table10[fluctuation], MATCH(TODAY(),Table10[dates], 0)):INDEX(Table10[fluctuation], MATCH(end_date,Table10[dates], 0))),
OR(ISNA(INDEX($AF$2:AF149, MATCH(Table10[[#This Row],[fluctuation]], $AF$2:AF149, 0))), ROW(AG150)=2)),
Table10[[#This Row],[fluctuation]],
NA())</f>
        <v>#N/A</v>
      </c>
    </row>
    <row r="151" spans="22:33" x14ac:dyDescent="0.25">
      <c r="V151" s="129">
        <v>43919</v>
      </c>
      <c r="W151" s="1">
        <f>DAY(income_future[[#This Row],[dates]])</f>
        <v>29</v>
      </c>
      <c r="X151" s="130">
        <f ca="1">SUMIF(income_curr[mod( )], MOD(V151, 14), income_curr[income])</f>
        <v>0</v>
      </c>
      <c r="Z151" s="148" t="str">
        <f ca="1">IF(TEXT(Table10[[#This Row],[dates]], "ddd")="Mon", 999999999, "")</f>
        <v/>
      </c>
      <c r="AA151" s="148" t="str">
        <f ca="1">IF(TODAY()=Table10[[#This Row],[dates]], TEXT(DATE(2019, MONTH(Table10[[#This Row],[dates]]), 1), "mmm"), IFERROR(IF(MONTH(Table10[[#This Row],[dates]])&lt;&gt;MONTH(AC150), TEXT(DATE(2019, MONTH(Table10[[#This Row],[dates]]), 1), "mmm"), ""), ""))</f>
        <v/>
      </c>
      <c r="AB151" s="149">
        <f ca="1">DAY('Data Preparation'!$AC151)</f>
        <v>7</v>
      </c>
      <c r="AC151" s="150">
        <f t="shared" ca="1" si="4"/>
        <v>43928</v>
      </c>
      <c r="AD15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1" s="136">
        <f ca="1">IFERROR(
IF(MONTH(Table10[[#This Row],[dates]])&lt;&gt;MONTH($AC150), Table10[[#This Row],[delta $]]+AE150-SUM(Bills3[Amount]), N("deducts other bills at the end of each month")+
IF(Table10[[#This Row],[delta $]]&lt;&gt;0, Table10[[#This Row],[delta $]]+AE150,
AE150)),
"")</f>
        <v>5840</v>
      </c>
      <c r="AF151" s="151">
        <f ca="1">Table10[[#This Row],[sum per date]]-IF(MONTH(Table10[[#This Row],[dates]])=MONTH(TODAY()),
SUMIF(Bills3[Paid?], "&lt;&gt;Y", Bills3[Amount]), SUM(Bills3[Amount]))</f>
        <v>5220</v>
      </c>
      <c r="AG151" s="136" t="e">
        <f ca="1">IF(AND(
Table10[[#This Row],[fluctuation]]=MIN(INDEX(Table10[fluctuation], MATCH(TODAY(),Table10[dates], 0)):INDEX(Table10[fluctuation], MATCH(end_date,Table10[dates], 0))),
OR(ISNA(INDEX($AF$2:AF150, MATCH(Table10[[#This Row],[fluctuation]], $AF$2:AF150, 0))), ROW(AG151)=2)),
Table10[[#This Row],[fluctuation]],
NA())</f>
        <v>#N/A</v>
      </c>
    </row>
    <row r="152" spans="22:33" x14ac:dyDescent="0.25">
      <c r="V152" s="129">
        <v>43920</v>
      </c>
      <c r="W152" s="1">
        <f>DAY(income_future[[#This Row],[dates]])</f>
        <v>30</v>
      </c>
      <c r="X152" s="130">
        <f ca="1">SUMIF(income_curr[mod( )], MOD(V152, 14), income_curr[income])</f>
        <v>0</v>
      </c>
      <c r="Z152" s="148" t="str">
        <f ca="1">IF(TEXT(Table10[[#This Row],[dates]], "ddd")="Mon", 999999999, "")</f>
        <v/>
      </c>
      <c r="AA152" s="148" t="str">
        <f ca="1">IF(TODAY()=Table10[[#This Row],[dates]], TEXT(DATE(2019, MONTH(Table10[[#This Row],[dates]]), 1), "mmm"), IFERROR(IF(MONTH(Table10[[#This Row],[dates]])&lt;&gt;MONTH(AC151), TEXT(DATE(2019, MONTH(Table10[[#This Row],[dates]]), 1), "mmm"), ""), ""))</f>
        <v/>
      </c>
      <c r="AB152" s="149">
        <f ca="1">DAY('Data Preparation'!$AC152)</f>
        <v>8</v>
      </c>
      <c r="AC152" s="150">
        <f t="shared" ca="1" si="4"/>
        <v>43929</v>
      </c>
      <c r="AD15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2" s="136">
        <f ca="1">IFERROR(
IF(MONTH(Table10[[#This Row],[dates]])&lt;&gt;MONTH($AC151), Table10[[#This Row],[delta $]]+AE151-SUM(Bills3[Amount]), N("deducts other bills at the end of each month")+
IF(Table10[[#This Row],[delta $]]&lt;&gt;0, Table10[[#This Row],[delta $]]+AE151,
AE151)),
"")</f>
        <v>5840</v>
      </c>
      <c r="AF152" s="151">
        <f ca="1">Table10[[#This Row],[sum per date]]-IF(MONTH(Table10[[#This Row],[dates]])=MONTH(TODAY()),
SUMIF(Bills3[Paid?], "&lt;&gt;Y", Bills3[Amount]), SUM(Bills3[Amount]))</f>
        <v>5220</v>
      </c>
      <c r="AG152" s="136" t="e">
        <f ca="1">IF(AND(
Table10[[#This Row],[fluctuation]]=MIN(INDEX(Table10[fluctuation], MATCH(TODAY(),Table10[dates], 0)):INDEX(Table10[fluctuation], MATCH(end_date,Table10[dates], 0))),
OR(ISNA(INDEX($AF$2:AF151, MATCH(Table10[[#This Row],[fluctuation]], $AF$2:AF151, 0))), ROW(AG152)=2)),
Table10[[#This Row],[fluctuation]],
NA())</f>
        <v>#N/A</v>
      </c>
    </row>
    <row r="153" spans="22:33" x14ac:dyDescent="0.25">
      <c r="V153" s="129">
        <v>43921</v>
      </c>
      <c r="W153" s="1">
        <f>DAY(income_future[[#This Row],[dates]])</f>
        <v>31</v>
      </c>
      <c r="X153" s="130">
        <f ca="1">SUMIF(income_curr[mod( )], MOD(V153, 14), income_curr[income])</f>
        <v>0</v>
      </c>
      <c r="Z153" s="148" t="str">
        <f ca="1">IF(TEXT(Table10[[#This Row],[dates]], "ddd")="Mon", 999999999, "")</f>
        <v/>
      </c>
      <c r="AA153" s="148" t="str">
        <f ca="1">IF(TODAY()=Table10[[#This Row],[dates]], TEXT(DATE(2019, MONTH(Table10[[#This Row],[dates]]), 1), "mmm"), IFERROR(IF(MONTH(Table10[[#This Row],[dates]])&lt;&gt;MONTH(AC152), TEXT(DATE(2019, MONTH(Table10[[#This Row],[dates]]), 1), "mmm"), ""), ""))</f>
        <v/>
      </c>
      <c r="AB153" s="149">
        <f ca="1">DAY('Data Preparation'!$AC153)</f>
        <v>9</v>
      </c>
      <c r="AC153" s="150">
        <f t="shared" ca="1" si="4"/>
        <v>43930</v>
      </c>
      <c r="AD15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3" s="136">
        <f ca="1">IFERROR(
IF(MONTH(Table10[[#This Row],[dates]])&lt;&gt;MONTH($AC152), Table10[[#This Row],[delta $]]+AE152-SUM(Bills3[Amount]), N("deducts other bills at the end of each month")+
IF(Table10[[#This Row],[delta $]]&lt;&gt;0, Table10[[#This Row],[delta $]]+AE152,
AE152)),
"")</f>
        <v>5840</v>
      </c>
      <c r="AF153" s="151">
        <f ca="1">Table10[[#This Row],[sum per date]]-IF(MONTH(Table10[[#This Row],[dates]])=MONTH(TODAY()),
SUMIF(Bills3[Paid?], "&lt;&gt;Y", Bills3[Amount]), SUM(Bills3[Amount]))</f>
        <v>5220</v>
      </c>
      <c r="AG153" s="136" t="e">
        <f ca="1">IF(AND(
Table10[[#This Row],[fluctuation]]=MIN(INDEX(Table10[fluctuation], MATCH(TODAY(),Table10[dates], 0)):INDEX(Table10[fluctuation], MATCH(end_date,Table10[dates], 0))),
OR(ISNA(INDEX($AF$2:AF152, MATCH(Table10[[#This Row],[fluctuation]], $AF$2:AF152, 0))), ROW(AG153)=2)),
Table10[[#This Row],[fluctuation]],
NA())</f>
        <v>#N/A</v>
      </c>
    </row>
    <row r="154" spans="22:33" x14ac:dyDescent="0.25">
      <c r="V154" s="129">
        <v>43922</v>
      </c>
      <c r="W154" s="1">
        <f>DAY(income_future[[#This Row],[dates]])</f>
        <v>1</v>
      </c>
      <c r="X154" s="130">
        <f ca="1">SUMIF(income_curr[mod( )], MOD(V154, 14), income_curr[income])</f>
        <v>0</v>
      </c>
      <c r="Z154" s="148" t="str">
        <f ca="1">IF(TEXT(Table10[[#This Row],[dates]], "ddd")="Mon", 999999999, "")</f>
        <v/>
      </c>
      <c r="AA154" s="148" t="str">
        <f ca="1">IF(TODAY()=Table10[[#This Row],[dates]], TEXT(DATE(2019, MONTH(Table10[[#This Row],[dates]]), 1), "mmm"), IFERROR(IF(MONTH(Table10[[#This Row],[dates]])&lt;&gt;MONTH(AC153), TEXT(DATE(2019, MONTH(Table10[[#This Row],[dates]]), 1), "mmm"), ""), ""))</f>
        <v/>
      </c>
      <c r="AB154" s="149">
        <f ca="1">DAY('Data Preparation'!$AC154)</f>
        <v>10</v>
      </c>
      <c r="AC154" s="150">
        <f t="shared" ca="1" si="4"/>
        <v>43931</v>
      </c>
      <c r="AD15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4" s="136">
        <f ca="1">IFERROR(
IF(MONTH(Table10[[#This Row],[dates]])&lt;&gt;MONTH($AC153), Table10[[#This Row],[delta $]]+AE153-SUM(Bills3[Amount]), N("deducts other bills at the end of each month")+
IF(Table10[[#This Row],[delta $]]&lt;&gt;0, Table10[[#This Row],[delta $]]+AE153,
AE153)),
"")</f>
        <v>5840</v>
      </c>
      <c r="AF154" s="151">
        <f ca="1">Table10[[#This Row],[sum per date]]-IF(MONTH(Table10[[#This Row],[dates]])=MONTH(TODAY()),
SUMIF(Bills3[Paid?], "&lt;&gt;Y", Bills3[Amount]), SUM(Bills3[Amount]))</f>
        <v>5220</v>
      </c>
      <c r="AG154" s="136" t="e">
        <f ca="1">IF(AND(
Table10[[#This Row],[fluctuation]]=MIN(INDEX(Table10[fluctuation], MATCH(TODAY(),Table10[dates], 0)):INDEX(Table10[fluctuation], MATCH(end_date,Table10[dates], 0))),
OR(ISNA(INDEX($AF$2:AF153, MATCH(Table10[[#This Row],[fluctuation]], $AF$2:AF153, 0))), ROW(AG154)=2)),
Table10[[#This Row],[fluctuation]],
NA())</f>
        <v>#N/A</v>
      </c>
    </row>
    <row r="155" spans="22:33" x14ac:dyDescent="0.25">
      <c r="V155" s="129">
        <v>43923</v>
      </c>
      <c r="W155" s="1">
        <f>DAY(income_future[[#This Row],[dates]])</f>
        <v>2</v>
      </c>
      <c r="X155" s="130">
        <f ca="1">SUMIF(income_curr[mod( )], MOD(V155, 14), income_curr[income])</f>
        <v>0</v>
      </c>
      <c r="Z155" s="148" t="str">
        <f ca="1">IF(TEXT(Table10[[#This Row],[dates]], "ddd")="Mon", 999999999, "")</f>
        <v/>
      </c>
      <c r="AA155" s="148" t="str">
        <f ca="1">IF(TODAY()=Table10[[#This Row],[dates]], TEXT(DATE(2019, MONTH(Table10[[#This Row],[dates]]), 1), "mmm"), IFERROR(IF(MONTH(Table10[[#This Row],[dates]])&lt;&gt;MONTH(AC154), TEXT(DATE(2019, MONTH(Table10[[#This Row],[dates]]), 1), "mmm"), ""), ""))</f>
        <v/>
      </c>
      <c r="AB155" s="149">
        <f ca="1">DAY('Data Preparation'!$AC155)</f>
        <v>11</v>
      </c>
      <c r="AC155" s="150">
        <f t="shared" ca="1" si="4"/>
        <v>43932</v>
      </c>
      <c r="AD15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5" s="136">
        <f ca="1">IFERROR(
IF(MONTH(Table10[[#This Row],[dates]])&lt;&gt;MONTH($AC154), Table10[[#This Row],[delta $]]+AE154-SUM(Bills3[Amount]), N("deducts other bills at the end of each month")+
IF(Table10[[#This Row],[delta $]]&lt;&gt;0, Table10[[#This Row],[delta $]]+AE154,
AE154)),
"")</f>
        <v>5840</v>
      </c>
      <c r="AF155" s="151">
        <f ca="1">Table10[[#This Row],[sum per date]]-IF(MONTH(Table10[[#This Row],[dates]])=MONTH(TODAY()),
SUMIF(Bills3[Paid?], "&lt;&gt;Y", Bills3[Amount]), SUM(Bills3[Amount]))</f>
        <v>5220</v>
      </c>
      <c r="AG155" s="136" t="e">
        <f ca="1">IF(AND(
Table10[[#This Row],[fluctuation]]=MIN(INDEX(Table10[fluctuation], MATCH(TODAY(),Table10[dates], 0)):INDEX(Table10[fluctuation], MATCH(end_date,Table10[dates], 0))),
OR(ISNA(INDEX($AF$2:AF154, MATCH(Table10[[#This Row],[fluctuation]], $AF$2:AF154, 0))), ROW(AG155)=2)),
Table10[[#This Row],[fluctuation]],
NA())</f>
        <v>#N/A</v>
      </c>
    </row>
    <row r="156" spans="22:33" x14ac:dyDescent="0.25">
      <c r="V156" s="129">
        <v>43924</v>
      </c>
      <c r="W156" s="1">
        <f>DAY(income_future[[#This Row],[dates]])</f>
        <v>3</v>
      </c>
      <c r="X156" s="130">
        <f ca="1">SUMIF(income_curr[mod( )], MOD(V156, 14), income_curr[income])</f>
        <v>0</v>
      </c>
      <c r="Z156" s="148" t="str">
        <f ca="1">IF(TEXT(Table10[[#This Row],[dates]], "ddd")="Mon", 999999999, "")</f>
        <v/>
      </c>
      <c r="AA156" s="148" t="str">
        <f ca="1">IF(TODAY()=Table10[[#This Row],[dates]], TEXT(DATE(2019, MONTH(Table10[[#This Row],[dates]]), 1), "mmm"), IFERROR(IF(MONTH(Table10[[#This Row],[dates]])&lt;&gt;MONTH(AC155), TEXT(DATE(2019, MONTH(Table10[[#This Row],[dates]]), 1), "mmm"), ""), ""))</f>
        <v/>
      </c>
      <c r="AB156" s="149">
        <f ca="1">DAY('Data Preparation'!$AC156)</f>
        <v>12</v>
      </c>
      <c r="AC156" s="150">
        <f t="shared" ca="1" si="4"/>
        <v>43933</v>
      </c>
      <c r="AD15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6" s="136">
        <f ca="1">IFERROR(
IF(MONTH(Table10[[#This Row],[dates]])&lt;&gt;MONTH($AC155), Table10[[#This Row],[delta $]]+AE155-SUM(Bills3[Amount]), N("deducts other bills at the end of each month")+
IF(Table10[[#This Row],[delta $]]&lt;&gt;0, Table10[[#This Row],[delta $]]+AE155,
AE155)),
"")</f>
        <v>5840</v>
      </c>
      <c r="AF156" s="151">
        <f ca="1">Table10[[#This Row],[sum per date]]-IF(MONTH(Table10[[#This Row],[dates]])=MONTH(TODAY()),
SUMIF(Bills3[Paid?], "&lt;&gt;Y", Bills3[Amount]), SUM(Bills3[Amount]))</f>
        <v>5220</v>
      </c>
      <c r="AG156" s="136" t="e">
        <f ca="1">IF(AND(
Table10[[#This Row],[fluctuation]]=MIN(INDEX(Table10[fluctuation], MATCH(TODAY(),Table10[dates], 0)):INDEX(Table10[fluctuation], MATCH(end_date,Table10[dates], 0))),
OR(ISNA(INDEX($AF$2:AF155, MATCH(Table10[[#This Row],[fluctuation]], $AF$2:AF155, 0))), ROW(AG156)=2)),
Table10[[#This Row],[fluctuation]],
NA())</f>
        <v>#N/A</v>
      </c>
    </row>
    <row r="157" spans="22:33" x14ac:dyDescent="0.25">
      <c r="V157" s="129">
        <v>43925</v>
      </c>
      <c r="W157" s="1">
        <f>DAY(income_future[[#This Row],[dates]])</f>
        <v>4</v>
      </c>
      <c r="X157" s="130">
        <f ca="1">SUMIF(income_curr[mod( )], MOD(V157, 14), income_curr[income])</f>
        <v>1000</v>
      </c>
      <c r="Z157" s="148">
        <f ca="1">IF(TEXT(Table10[[#This Row],[dates]], "ddd")="Mon", 999999999, "")</f>
        <v>999999999</v>
      </c>
      <c r="AA157" s="148" t="str">
        <f ca="1">IF(TODAY()=Table10[[#This Row],[dates]], TEXT(DATE(2019, MONTH(Table10[[#This Row],[dates]]), 1), "mmm"), IFERROR(IF(MONTH(Table10[[#This Row],[dates]])&lt;&gt;MONTH(AC156), TEXT(DATE(2019, MONTH(Table10[[#This Row],[dates]]), 1), "mmm"), ""), ""))</f>
        <v/>
      </c>
      <c r="AB157" s="149">
        <f ca="1">DAY('Data Preparation'!$AC157)</f>
        <v>13</v>
      </c>
      <c r="AC157" s="150">
        <f t="shared" ca="1" si="4"/>
        <v>43934</v>
      </c>
      <c r="AD15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7" s="136">
        <f ca="1">IFERROR(
IF(MONTH(Table10[[#This Row],[dates]])&lt;&gt;MONTH($AC156), Table10[[#This Row],[delta $]]+AE156-SUM(Bills3[Amount]), N("deducts other bills at the end of each month")+
IF(Table10[[#This Row],[delta $]]&lt;&gt;0, Table10[[#This Row],[delta $]]+AE156,
AE156)),
"")</f>
        <v>5840</v>
      </c>
      <c r="AF157" s="151">
        <f ca="1">Table10[[#This Row],[sum per date]]-IF(MONTH(Table10[[#This Row],[dates]])=MONTH(TODAY()),
SUMIF(Bills3[Paid?], "&lt;&gt;Y", Bills3[Amount]), SUM(Bills3[Amount]))</f>
        <v>5220</v>
      </c>
      <c r="AG157" s="136" t="e">
        <f ca="1">IF(AND(
Table10[[#This Row],[fluctuation]]=MIN(INDEX(Table10[fluctuation], MATCH(TODAY(),Table10[dates], 0)):INDEX(Table10[fluctuation], MATCH(end_date,Table10[dates], 0))),
OR(ISNA(INDEX($AF$2:AF156, MATCH(Table10[[#This Row],[fluctuation]], $AF$2:AF156, 0))), ROW(AG157)=2)),
Table10[[#This Row],[fluctuation]],
NA())</f>
        <v>#N/A</v>
      </c>
    </row>
    <row r="158" spans="22:33" x14ac:dyDescent="0.25">
      <c r="V158" s="129">
        <v>43926</v>
      </c>
      <c r="W158" s="1">
        <f>DAY(income_future[[#This Row],[dates]])</f>
        <v>5</v>
      </c>
      <c r="X158" s="130">
        <f ca="1">SUMIF(income_curr[mod( )], MOD(V158, 14), income_curr[income])</f>
        <v>0</v>
      </c>
      <c r="Z158" s="148" t="str">
        <f ca="1">IF(TEXT(Table10[[#This Row],[dates]], "ddd")="Mon", 999999999, "")</f>
        <v/>
      </c>
      <c r="AA158" s="148" t="str">
        <f ca="1">IF(TODAY()=Table10[[#This Row],[dates]], TEXT(DATE(2019, MONTH(Table10[[#This Row],[dates]]), 1), "mmm"), IFERROR(IF(MONTH(Table10[[#This Row],[dates]])&lt;&gt;MONTH(AC157), TEXT(DATE(2019, MONTH(Table10[[#This Row],[dates]]), 1), "mmm"), ""), ""))</f>
        <v/>
      </c>
      <c r="AB158" s="149">
        <f ca="1">DAY('Data Preparation'!$AC158)</f>
        <v>14</v>
      </c>
      <c r="AC158" s="150">
        <f t="shared" ca="1" si="4"/>
        <v>43935</v>
      </c>
      <c r="AD15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58" s="136">
        <f ca="1">IFERROR(
IF(MONTH(Table10[[#This Row],[dates]])&lt;&gt;MONTH($AC157), Table10[[#This Row],[delta $]]+AE157-SUM(Bills3[Amount]), N("deducts other bills at the end of each month")+
IF(Table10[[#This Row],[delta $]]&lt;&gt;0, Table10[[#This Row],[delta $]]+AE157,
AE157)),
"")</f>
        <v>5840</v>
      </c>
      <c r="AF158" s="151">
        <f ca="1">Table10[[#This Row],[sum per date]]-IF(MONTH(Table10[[#This Row],[dates]])=MONTH(TODAY()),
SUMIF(Bills3[Paid?], "&lt;&gt;Y", Bills3[Amount]), SUM(Bills3[Amount]))</f>
        <v>5220</v>
      </c>
      <c r="AG158" s="136" t="e">
        <f ca="1">IF(AND(
Table10[[#This Row],[fluctuation]]=MIN(INDEX(Table10[fluctuation], MATCH(TODAY(),Table10[dates], 0)):INDEX(Table10[fluctuation], MATCH(end_date,Table10[dates], 0))),
OR(ISNA(INDEX($AF$2:AF157, MATCH(Table10[[#This Row],[fluctuation]], $AF$2:AF157, 0))), ROW(AG158)=2)),
Table10[[#This Row],[fluctuation]],
NA())</f>
        <v>#N/A</v>
      </c>
    </row>
    <row r="159" spans="22:33" x14ac:dyDescent="0.25">
      <c r="V159" s="129">
        <v>43927</v>
      </c>
      <c r="W159" s="1">
        <f>DAY(income_future[[#This Row],[dates]])</f>
        <v>6</v>
      </c>
      <c r="X159" s="130">
        <f ca="1">SUMIF(income_curr[mod( )], MOD(V159, 14), income_curr[income])</f>
        <v>0</v>
      </c>
      <c r="Z159" s="148" t="str">
        <f ca="1">IF(TEXT(Table10[[#This Row],[dates]], "ddd")="Mon", 999999999, "")</f>
        <v/>
      </c>
      <c r="AA159" s="148" t="str">
        <f ca="1">IF(TODAY()=Table10[[#This Row],[dates]], TEXT(DATE(2019, MONTH(Table10[[#This Row],[dates]]), 1), "mmm"), IFERROR(IF(MONTH(Table10[[#This Row],[dates]])&lt;&gt;MONTH(AC158), TEXT(DATE(2019, MONTH(Table10[[#This Row],[dates]]), 1), "mmm"), ""), ""))</f>
        <v/>
      </c>
      <c r="AB159" s="149">
        <f ca="1">DAY('Data Preparation'!$AC159)</f>
        <v>15</v>
      </c>
      <c r="AC159" s="150">
        <f t="shared" ca="1" si="4"/>
        <v>43936</v>
      </c>
      <c r="AD15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-212</v>
      </c>
      <c r="AE159" s="136">
        <f ca="1">IFERROR(
IF(MONTH(Table10[[#This Row],[dates]])&lt;&gt;MONTH($AC158), Table10[[#This Row],[delta $]]+AE158-SUM(Bills3[Amount]), N("deducts other bills at the end of each month")+
IF(Table10[[#This Row],[delta $]]&lt;&gt;0, Table10[[#This Row],[delta $]]+AE158,
AE158)),
"")</f>
        <v>5628</v>
      </c>
      <c r="AF159" s="151">
        <f ca="1">Table10[[#This Row],[sum per date]]-IF(MONTH(Table10[[#This Row],[dates]])=MONTH(TODAY()),
SUMIF(Bills3[Paid?], "&lt;&gt;Y", Bills3[Amount]), SUM(Bills3[Amount]))</f>
        <v>5008</v>
      </c>
      <c r="AG159" s="136" t="e">
        <f ca="1">IF(AND(
Table10[[#This Row],[fluctuation]]=MIN(INDEX(Table10[fluctuation], MATCH(TODAY(),Table10[dates], 0)):INDEX(Table10[fluctuation], MATCH(end_date,Table10[dates], 0))),
OR(ISNA(INDEX($AF$2:AF158, MATCH(Table10[[#This Row],[fluctuation]], $AF$2:AF158, 0))), ROW(AG159)=2)),
Table10[[#This Row],[fluctuation]],
NA())</f>
        <v>#N/A</v>
      </c>
    </row>
    <row r="160" spans="22:33" x14ac:dyDescent="0.25">
      <c r="V160" s="129">
        <v>43928</v>
      </c>
      <c r="W160" s="1">
        <f>DAY(income_future[[#This Row],[dates]])</f>
        <v>7</v>
      </c>
      <c r="X160" s="130">
        <f ca="1">SUMIF(income_curr[mod( )], MOD(V160, 14), income_curr[income])</f>
        <v>0</v>
      </c>
      <c r="Z160" s="148" t="str">
        <f ca="1">IF(TEXT(Table10[[#This Row],[dates]], "ddd")="Mon", 999999999, "")</f>
        <v/>
      </c>
      <c r="AA160" s="148" t="str">
        <f ca="1">IF(TODAY()=Table10[[#This Row],[dates]], TEXT(DATE(2019, MONTH(Table10[[#This Row],[dates]]), 1), "mmm"), IFERROR(IF(MONTH(Table10[[#This Row],[dates]])&lt;&gt;MONTH(AC159), TEXT(DATE(2019, MONTH(Table10[[#This Row],[dates]]), 1), "mmm"), ""), ""))</f>
        <v/>
      </c>
      <c r="AB160" s="149">
        <f ca="1">DAY('Data Preparation'!$AC160)</f>
        <v>16</v>
      </c>
      <c r="AC160" s="150">
        <f t="shared" ca="1" si="4"/>
        <v>43937</v>
      </c>
      <c r="AD16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0" s="136">
        <f ca="1">IFERROR(
IF(MONTH(Table10[[#This Row],[dates]])&lt;&gt;MONTH($AC159), Table10[[#This Row],[delta $]]+AE159-SUM(Bills3[Amount]), N("deducts other bills at the end of each month")+
IF(Table10[[#This Row],[delta $]]&lt;&gt;0, Table10[[#This Row],[delta $]]+AE159,
AE159)),
"")</f>
        <v>5628</v>
      </c>
      <c r="AF160" s="151">
        <f ca="1">Table10[[#This Row],[sum per date]]-IF(MONTH(Table10[[#This Row],[dates]])=MONTH(TODAY()),
SUMIF(Bills3[Paid?], "&lt;&gt;Y", Bills3[Amount]), SUM(Bills3[Amount]))</f>
        <v>5008</v>
      </c>
      <c r="AG160" s="136" t="e">
        <f ca="1">IF(AND(
Table10[[#This Row],[fluctuation]]=MIN(INDEX(Table10[fluctuation], MATCH(TODAY(),Table10[dates], 0)):INDEX(Table10[fluctuation], MATCH(end_date,Table10[dates], 0))),
OR(ISNA(INDEX($AF$2:AF159, MATCH(Table10[[#This Row],[fluctuation]], $AF$2:AF159, 0))), ROW(AG160)=2)),
Table10[[#This Row],[fluctuation]],
NA())</f>
        <v>#N/A</v>
      </c>
    </row>
    <row r="161" spans="22:33" x14ac:dyDescent="0.25">
      <c r="V161" s="129">
        <v>43929</v>
      </c>
      <c r="W161" s="1">
        <f>DAY(income_future[[#This Row],[dates]])</f>
        <v>8</v>
      </c>
      <c r="X161" s="130">
        <f ca="1">SUMIF(income_curr[mod( )], MOD(V161, 14), income_curr[income])</f>
        <v>0</v>
      </c>
      <c r="Z161" s="148" t="str">
        <f ca="1">IF(TEXT(Table10[[#This Row],[dates]], "ddd")="Mon", 999999999, "")</f>
        <v/>
      </c>
      <c r="AA161" s="148" t="str">
        <f ca="1">IF(TODAY()=Table10[[#This Row],[dates]], TEXT(DATE(2019, MONTH(Table10[[#This Row],[dates]]), 1), "mmm"), IFERROR(IF(MONTH(Table10[[#This Row],[dates]])&lt;&gt;MONTH(AC160), TEXT(DATE(2019, MONTH(Table10[[#This Row],[dates]]), 1), "mmm"), ""), ""))</f>
        <v/>
      </c>
      <c r="AB161" s="149">
        <f ca="1">DAY('Data Preparation'!$AC161)</f>
        <v>17</v>
      </c>
      <c r="AC161" s="150">
        <f t="shared" ca="1" si="4"/>
        <v>43938</v>
      </c>
      <c r="AD16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1" s="136">
        <f ca="1">IFERROR(
IF(MONTH(Table10[[#This Row],[dates]])&lt;&gt;MONTH($AC160), Table10[[#This Row],[delta $]]+AE160-SUM(Bills3[Amount]), N("deducts other bills at the end of each month")+
IF(Table10[[#This Row],[delta $]]&lt;&gt;0, Table10[[#This Row],[delta $]]+AE160,
AE160)),
"")</f>
        <v>5628</v>
      </c>
      <c r="AF161" s="151">
        <f ca="1">Table10[[#This Row],[sum per date]]-IF(MONTH(Table10[[#This Row],[dates]])=MONTH(TODAY()),
SUMIF(Bills3[Paid?], "&lt;&gt;Y", Bills3[Amount]), SUM(Bills3[Amount]))</f>
        <v>5008</v>
      </c>
      <c r="AG161" s="136" t="e">
        <f ca="1">IF(AND(
Table10[[#This Row],[fluctuation]]=MIN(INDEX(Table10[fluctuation], MATCH(TODAY(),Table10[dates], 0)):INDEX(Table10[fluctuation], MATCH(end_date,Table10[dates], 0))),
OR(ISNA(INDEX($AF$2:AF160, MATCH(Table10[[#This Row],[fluctuation]], $AF$2:AF160, 0))), ROW(AG161)=2)),
Table10[[#This Row],[fluctuation]],
NA())</f>
        <v>#N/A</v>
      </c>
    </row>
    <row r="162" spans="22:33" x14ac:dyDescent="0.25">
      <c r="V162" s="129">
        <v>43930</v>
      </c>
      <c r="W162" s="1">
        <f>DAY(income_future[[#This Row],[dates]])</f>
        <v>9</v>
      </c>
      <c r="X162" s="130">
        <f ca="1">SUMIF(income_curr[mod( )], MOD(V162, 14), income_curr[income])</f>
        <v>0</v>
      </c>
      <c r="Z162" s="148" t="str">
        <f ca="1">IF(TEXT(Table10[[#This Row],[dates]], "ddd")="Mon", 999999999, "")</f>
        <v/>
      </c>
      <c r="AA162" s="148" t="str">
        <f ca="1">IF(TODAY()=Table10[[#This Row],[dates]], TEXT(DATE(2019, MONTH(Table10[[#This Row],[dates]]), 1), "mmm"), IFERROR(IF(MONTH(Table10[[#This Row],[dates]])&lt;&gt;MONTH(AC161), TEXT(DATE(2019, MONTH(Table10[[#This Row],[dates]]), 1), "mmm"), ""), ""))</f>
        <v/>
      </c>
      <c r="AB162" s="149">
        <f ca="1">DAY('Data Preparation'!$AC162)</f>
        <v>18</v>
      </c>
      <c r="AC162" s="150">
        <f t="shared" ref="AC162:AC184" ca="1" si="5">TODAY()+(ROW(AB162)-ROW($AB$2))</f>
        <v>43939</v>
      </c>
      <c r="AD16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1000</v>
      </c>
      <c r="AE162" s="136">
        <f ca="1">IFERROR(
IF(MONTH(Table10[[#This Row],[dates]])&lt;&gt;MONTH($AC161), Table10[[#This Row],[delta $]]+AE161-SUM(Bills3[Amount]), N("deducts other bills at the end of each month")+
IF(Table10[[#This Row],[delta $]]&lt;&gt;0, Table10[[#This Row],[delta $]]+AE161,
AE161)),
"")</f>
        <v>6628</v>
      </c>
      <c r="AF162" s="151">
        <f ca="1">Table10[[#This Row],[sum per date]]-IF(MONTH(Table10[[#This Row],[dates]])=MONTH(TODAY()),
SUMIF(Bills3[Paid?], "&lt;&gt;Y", Bills3[Amount]), SUM(Bills3[Amount]))</f>
        <v>6008</v>
      </c>
      <c r="AG162" s="136" t="e">
        <f ca="1">IF(AND(
Table10[[#This Row],[fluctuation]]=MIN(INDEX(Table10[fluctuation], MATCH(TODAY(),Table10[dates], 0)):INDEX(Table10[fluctuation], MATCH(end_date,Table10[dates], 0))),
OR(ISNA(INDEX($AF$2:AF161, MATCH(Table10[[#This Row],[fluctuation]], $AF$2:AF161, 0))), ROW(AG162)=2)),
Table10[[#This Row],[fluctuation]],
NA())</f>
        <v>#N/A</v>
      </c>
    </row>
    <row r="163" spans="22:33" x14ac:dyDescent="0.25">
      <c r="V163" s="129">
        <v>43931</v>
      </c>
      <c r="W163" s="1">
        <f>DAY(income_future[[#This Row],[dates]])</f>
        <v>10</v>
      </c>
      <c r="X163" s="130">
        <f ca="1">SUMIF(income_curr[mod( )], MOD(V163, 14), income_curr[income])</f>
        <v>0</v>
      </c>
      <c r="Z163" s="148" t="str">
        <f ca="1">IF(TEXT(Table10[[#This Row],[dates]], "ddd")="Mon", 999999999, "")</f>
        <v/>
      </c>
      <c r="AA163" s="148" t="str">
        <f ca="1">IF(TODAY()=Table10[[#This Row],[dates]], TEXT(DATE(2019, MONTH(Table10[[#This Row],[dates]]), 1), "mmm"), IFERROR(IF(MONTH(Table10[[#This Row],[dates]])&lt;&gt;MONTH(AC162), TEXT(DATE(2019, MONTH(Table10[[#This Row],[dates]]), 1), "mmm"), ""), ""))</f>
        <v/>
      </c>
      <c r="AB163" s="149">
        <f ca="1">DAY('Data Preparation'!$AC163)</f>
        <v>19</v>
      </c>
      <c r="AC163" s="150">
        <f t="shared" ca="1" si="5"/>
        <v>43940</v>
      </c>
      <c r="AD16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3" s="136">
        <f ca="1">IFERROR(
IF(MONTH(Table10[[#This Row],[dates]])&lt;&gt;MONTH($AC162), Table10[[#This Row],[delta $]]+AE162-SUM(Bills3[Amount]), N("deducts other bills at the end of each month")+
IF(Table10[[#This Row],[delta $]]&lt;&gt;0, Table10[[#This Row],[delta $]]+AE162,
AE162)),
"")</f>
        <v>6628</v>
      </c>
      <c r="AF163" s="151">
        <f ca="1">Table10[[#This Row],[sum per date]]-IF(MONTH(Table10[[#This Row],[dates]])=MONTH(TODAY()),
SUMIF(Bills3[Paid?], "&lt;&gt;Y", Bills3[Amount]), SUM(Bills3[Amount]))</f>
        <v>6008</v>
      </c>
      <c r="AG163" s="136" t="e">
        <f ca="1">IF(AND(
Table10[[#This Row],[fluctuation]]=MIN(INDEX(Table10[fluctuation], MATCH(TODAY(),Table10[dates], 0)):INDEX(Table10[fluctuation], MATCH(end_date,Table10[dates], 0))),
OR(ISNA(INDEX($AF$2:AF162, MATCH(Table10[[#This Row],[fluctuation]], $AF$2:AF162, 0))), ROW(AG163)=2)),
Table10[[#This Row],[fluctuation]],
NA())</f>
        <v>#N/A</v>
      </c>
    </row>
    <row r="164" spans="22:33" x14ac:dyDescent="0.25">
      <c r="V164" s="129">
        <v>43932</v>
      </c>
      <c r="W164" s="1">
        <f>DAY(income_future[[#This Row],[dates]])</f>
        <v>11</v>
      </c>
      <c r="X164" s="130">
        <f ca="1">SUMIF(income_curr[mod( )], MOD(V164, 14), income_curr[income])</f>
        <v>0</v>
      </c>
      <c r="Z164" s="148">
        <f ca="1">IF(TEXT(Table10[[#This Row],[dates]], "ddd")="Mon", 999999999, "")</f>
        <v>999999999</v>
      </c>
      <c r="AA164" s="148" t="str">
        <f ca="1">IF(TODAY()=Table10[[#This Row],[dates]], TEXT(DATE(2019, MONTH(Table10[[#This Row],[dates]]), 1), "mmm"), IFERROR(IF(MONTH(Table10[[#This Row],[dates]])&lt;&gt;MONTH(AC163), TEXT(DATE(2019, MONTH(Table10[[#This Row],[dates]]), 1), "mmm"), ""), ""))</f>
        <v/>
      </c>
      <c r="AB164" s="149">
        <f ca="1">DAY('Data Preparation'!$AC164)</f>
        <v>20</v>
      </c>
      <c r="AC164" s="150">
        <f t="shared" ca="1" si="5"/>
        <v>43941</v>
      </c>
      <c r="AD16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4" s="136">
        <f ca="1">IFERROR(
IF(MONTH(Table10[[#This Row],[dates]])&lt;&gt;MONTH($AC163), Table10[[#This Row],[delta $]]+AE163-SUM(Bills3[Amount]), N("deducts other bills at the end of each month")+
IF(Table10[[#This Row],[delta $]]&lt;&gt;0, Table10[[#This Row],[delta $]]+AE163,
AE163)),
"")</f>
        <v>6628</v>
      </c>
      <c r="AF164" s="151">
        <f ca="1">Table10[[#This Row],[sum per date]]-IF(MONTH(Table10[[#This Row],[dates]])=MONTH(TODAY()),
SUMIF(Bills3[Paid?], "&lt;&gt;Y", Bills3[Amount]), SUM(Bills3[Amount]))</f>
        <v>6008</v>
      </c>
      <c r="AG164" s="136" t="e">
        <f ca="1">IF(AND(
Table10[[#This Row],[fluctuation]]=MIN(INDEX(Table10[fluctuation], MATCH(TODAY(),Table10[dates], 0)):INDEX(Table10[fluctuation], MATCH(end_date,Table10[dates], 0))),
OR(ISNA(INDEX($AF$2:AF163, MATCH(Table10[[#This Row],[fluctuation]], $AF$2:AF163, 0))), ROW(AG164)=2)),
Table10[[#This Row],[fluctuation]],
NA())</f>
        <v>#N/A</v>
      </c>
    </row>
    <row r="165" spans="22:33" x14ac:dyDescent="0.25">
      <c r="V165" s="129">
        <v>43933</v>
      </c>
      <c r="W165" s="1">
        <f>DAY(income_future[[#This Row],[dates]])</f>
        <v>12</v>
      </c>
      <c r="X165" s="130">
        <f ca="1">SUMIF(income_curr[mod( )], MOD(V165, 14), income_curr[income])</f>
        <v>0</v>
      </c>
      <c r="Z165" s="148" t="str">
        <f ca="1">IF(TEXT(Table10[[#This Row],[dates]], "ddd")="Mon", 999999999, "")</f>
        <v/>
      </c>
      <c r="AA165" s="148" t="str">
        <f ca="1">IF(TODAY()=Table10[[#This Row],[dates]], TEXT(DATE(2019, MONTH(Table10[[#This Row],[dates]]), 1), "mmm"), IFERROR(IF(MONTH(Table10[[#This Row],[dates]])&lt;&gt;MONTH(AC164), TEXT(DATE(2019, MONTH(Table10[[#This Row],[dates]]), 1), "mmm"), ""), ""))</f>
        <v/>
      </c>
      <c r="AB165" s="149">
        <f ca="1">DAY('Data Preparation'!$AC165)</f>
        <v>21</v>
      </c>
      <c r="AC165" s="150">
        <f t="shared" ca="1" si="5"/>
        <v>43942</v>
      </c>
      <c r="AD16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5" s="136">
        <f ca="1">IFERROR(
IF(MONTH(Table10[[#This Row],[dates]])&lt;&gt;MONTH($AC164), Table10[[#This Row],[delta $]]+AE164-SUM(Bills3[Amount]), N("deducts other bills at the end of each month")+
IF(Table10[[#This Row],[delta $]]&lt;&gt;0, Table10[[#This Row],[delta $]]+AE164,
AE164)),
"")</f>
        <v>6628</v>
      </c>
      <c r="AF165" s="151">
        <f ca="1">Table10[[#This Row],[sum per date]]-IF(MONTH(Table10[[#This Row],[dates]])=MONTH(TODAY()),
SUMIF(Bills3[Paid?], "&lt;&gt;Y", Bills3[Amount]), SUM(Bills3[Amount]))</f>
        <v>6008</v>
      </c>
      <c r="AG165" s="136" t="e">
        <f ca="1">IF(AND(
Table10[[#This Row],[fluctuation]]=MIN(INDEX(Table10[fluctuation], MATCH(TODAY(),Table10[dates], 0)):INDEX(Table10[fluctuation], MATCH(end_date,Table10[dates], 0))),
OR(ISNA(INDEX($AF$2:AF164, MATCH(Table10[[#This Row],[fluctuation]], $AF$2:AF164, 0))), ROW(AG165)=2)),
Table10[[#This Row],[fluctuation]],
NA())</f>
        <v>#N/A</v>
      </c>
    </row>
    <row r="166" spans="22:33" x14ac:dyDescent="0.25">
      <c r="V166" s="129">
        <v>43934</v>
      </c>
      <c r="W166" s="1">
        <f>DAY(income_future[[#This Row],[dates]])</f>
        <v>13</v>
      </c>
      <c r="X166" s="130">
        <f ca="1">SUMIF(income_curr[mod( )], MOD(V166, 14), income_curr[income])</f>
        <v>0</v>
      </c>
      <c r="Z166" s="148" t="str">
        <f ca="1">IF(TEXT(Table10[[#This Row],[dates]], "ddd")="Mon", 999999999, "")</f>
        <v/>
      </c>
      <c r="AA166" s="148" t="str">
        <f ca="1">IF(TODAY()=Table10[[#This Row],[dates]], TEXT(DATE(2019, MONTH(Table10[[#This Row],[dates]]), 1), "mmm"), IFERROR(IF(MONTH(Table10[[#This Row],[dates]])&lt;&gt;MONTH(AC165), TEXT(DATE(2019, MONTH(Table10[[#This Row],[dates]]), 1), "mmm"), ""), ""))</f>
        <v/>
      </c>
      <c r="AB166" s="149">
        <f ca="1">DAY('Data Preparation'!$AC166)</f>
        <v>22</v>
      </c>
      <c r="AC166" s="150">
        <f t="shared" ca="1" si="5"/>
        <v>43943</v>
      </c>
      <c r="AD16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6" s="136">
        <f ca="1">IFERROR(
IF(MONTH(Table10[[#This Row],[dates]])&lt;&gt;MONTH($AC165), Table10[[#This Row],[delta $]]+AE165-SUM(Bills3[Amount]), N("deducts other bills at the end of each month")+
IF(Table10[[#This Row],[delta $]]&lt;&gt;0, Table10[[#This Row],[delta $]]+AE165,
AE165)),
"")</f>
        <v>6628</v>
      </c>
      <c r="AF166" s="151">
        <f ca="1">Table10[[#This Row],[sum per date]]-IF(MONTH(Table10[[#This Row],[dates]])=MONTH(TODAY()),
SUMIF(Bills3[Paid?], "&lt;&gt;Y", Bills3[Amount]), SUM(Bills3[Amount]))</f>
        <v>6008</v>
      </c>
      <c r="AG166" s="136" t="e">
        <f ca="1">IF(AND(
Table10[[#This Row],[fluctuation]]=MIN(INDEX(Table10[fluctuation], MATCH(TODAY(),Table10[dates], 0)):INDEX(Table10[fluctuation], MATCH(end_date,Table10[dates], 0))),
OR(ISNA(INDEX($AF$2:AF165, MATCH(Table10[[#This Row],[fluctuation]], $AF$2:AF165, 0))), ROW(AG166)=2)),
Table10[[#This Row],[fluctuation]],
NA())</f>
        <v>#N/A</v>
      </c>
    </row>
    <row r="167" spans="22:33" x14ac:dyDescent="0.25">
      <c r="V167" s="129">
        <v>43935</v>
      </c>
      <c r="W167" s="1">
        <f>DAY(income_future[[#This Row],[dates]])</f>
        <v>14</v>
      </c>
      <c r="X167" s="130">
        <f ca="1">SUMIF(income_curr[mod( )], MOD(V167, 14), income_curr[income])</f>
        <v>0</v>
      </c>
      <c r="Z167" s="148" t="str">
        <f ca="1">IF(TEXT(Table10[[#This Row],[dates]], "ddd")="Mon", 999999999, "")</f>
        <v/>
      </c>
      <c r="AA167" s="148" t="str">
        <f ca="1">IF(TODAY()=Table10[[#This Row],[dates]], TEXT(DATE(2019, MONTH(Table10[[#This Row],[dates]]), 1), "mmm"), IFERROR(IF(MONTH(Table10[[#This Row],[dates]])&lt;&gt;MONTH(AC166), TEXT(DATE(2019, MONTH(Table10[[#This Row],[dates]]), 1), "mmm"), ""), ""))</f>
        <v/>
      </c>
      <c r="AB167" s="149">
        <f ca="1">DAY('Data Preparation'!$AC167)</f>
        <v>23</v>
      </c>
      <c r="AC167" s="150">
        <f t="shared" ca="1" si="5"/>
        <v>43944</v>
      </c>
      <c r="AD16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7" s="136">
        <f ca="1">IFERROR(
IF(MONTH(Table10[[#This Row],[dates]])&lt;&gt;MONTH($AC166), Table10[[#This Row],[delta $]]+AE166-SUM(Bills3[Amount]), N("deducts other bills at the end of each month")+
IF(Table10[[#This Row],[delta $]]&lt;&gt;0, Table10[[#This Row],[delta $]]+AE166,
AE166)),
"")</f>
        <v>6628</v>
      </c>
      <c r="AF167" s="151">
        <f ca="1">Table10[[#This Row],[sum per date]]-IF(MONTH(Table10[[#This Row],[dates]])=MONTH(TODAY()),
SUMIF(Bills3[Paid?], "&lt;&gt;Y", Bills3[Amount]), SUM(Bills3[Amount]))</f>
        <v>6008</v>
      </c>
      <c r="AG167" s="136" t="e">
        <f ca="1">IF(AND(
Table10[[#This Row],[fluctuation]]=MIN(INDEX(Table10[fluctuation], MATCH(TODAY(),Table10[dates], 0)):INDEX(Table10[fluctuation], MATCH(end_date,Table10[dates], 0))),
OR(ISNA(INDEX($AF$2:AF166, MATCH(Table10[[#This Row],[fluctuation]], $AF$2:AF166, 0))), ROW(AG167)=2)),
Table10[[#This Row],[fluctuation]],
NA())</f>
        <v>#N/A</v>
      </c>
    </row>
    <row r="168" spans="22:33" x14ac:dyDescent="0.25">
      <c r="V168" s="129">
        <v>43936</v>
      </c>
      <c r="W168" s="1">
        <f>DAY(income_future[[#This Row],[dates]])</f>
        <v>15</v>
      </c>
      <c r="X168" s="130">
        <f ca="1">SUMIF(income_curr[mod( )], MOD(V168, 14), income_curr[income])</f>
        <v>0</v>
      </c>
      <c r="Z168" s="148" t="str">
        <f ca="1">IF(TEXT(Table10[[#This Row],[dates]], "ddd")="Mon", 999999999, "")</f>
        <v/>
      </c>
      <c r="AA168" s="148" t="str">
        <f ca="1">IF(TODAY()=Table10[[#This Row],[dates]], TEXT(DATE(2019, MONTH(Table10[[#This Row],[dates]]), 1), "mmm"), IFERROR(IF(MONTH(Table10[[#This Row],[dates]])&lt;&gt;MONTH(AC167), TEXT(DATE(2019, MONTH(Table10[[#This Row],[dates]]), 1), "mmm"), ""), ""))</f>
        <v/>
      </c>
      <c r="AB168" s="149">
        <f ca="1">DAY('Data Preparation'!$AC168)</f>
        <v>24</v>
      </c>
      <c r="AC168" s="150">
        <f t="shared" ca="1" si="5"/>
        <v>43945</v>
      </c>
      <c r="AD16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8" s="136">
        <f ca="1">IFERROR(
IF(MONTH(Table10[[#This Row],[dates]])&lt;&gt;MONTH($AC167), Table10[[#This Row],[delta $]]+AE167-SUM(Bills3[Amount]), N("deducts other bills at the end of each month")+
IF(Table10[[#This Row],[delta $]]&lt;&gt;0, Table10[[#This Row],[delta $]]+AE167,
AE167)),
"")</f>
        <v>6628</v>
      </c>
      <c r="AF168" s="151">
        <f ca="1">Table10[[#This Row],[sum per date]]-IF(MONTH(Table10[[#This Row],[dates]])=MONTH(TODAY()),
SUMIF(Bills3[Paid?], "&lt;&gt;Y", Bills3[Amount]), SUM(Bills3[Amount]))</f>
        <v>6008</v>
      </c>
      <c r="AG168" s="136" t="e">
        <f ca="1">IF(AND(
Table10[[#This Row],[fluctuation]]=MIN(INDEX(Table10[fluctuation], MATCH(TODAY(),Table10[dates], 0)):INDEX(Table10[fluctuation], MATCH(end_date,Table10[dates], 0))),
OR(ISNA(INDEX($AF$2:AF167, MATCH(Table10[[#This Row],[fluctuation]], $AF$2:AF167, 0))), ROW(AG168)=2)),
Table10[[#This Row],[fluctuation]],
NA())</f>
        <v>#N/A</v>
      </c>
    </row>
    <row r="169" spans="22:33" x14ac:dyDescent="0.25">
      <c r="V169" s="129">
        <v>43937</v>
      </c>
      <c r="W169" s="1">
        <f>DAY(income_future[[#This Row],[dates]])</f>
        <v>16</v>
      </c>
      <c r="X169" s="130">
        <f ca="1">SUMIF(income_curr[mod( )], MOD(V169, 14), income_curr[income])</f>
        <v>0</v>
      </c>
      <c r="Z169" s="148" t="str">
        <f ca="1">IF(TEXT(Table10[[#This Row],[dates]], "ddd")="Mon", 999999999, "")</f>
        <v/>
      </c>
      <c r="AA169" s="148" t="str">
        <f ca="1">IF(TODAY()=Table10[[#This Row],[dates]], TEXT(DATE(2019, MONTH(Table10[[#This Row],[dates]]), 1), "mmm"), IFERROR(IF(MONTH(Table10[[#This Row],[dates]])&lt;&gt;MONTH(AC168), TEXT(DATE(2019, MONTH(Table10[[#This Row],[dates]]), 1), "mmm"), ""), ""))</f>
        <v/>
      </c>
      <c r="AB169" s="149">
        <f ca="1">DAY('Data Preparation'!$AC169)</f>
        <v>25</v>
      </c>
      <c r="AC169" s="150">
        <f t="shared" ca="1" si="5"/>
        <v>43946</v>
      </c>
      <c r="AD16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69" s="136">
        <f ca="1">IFERROR(
IF(MONTH(Table10[[#This Row],[dates]])&lt;&gt;MONTH($AC168), Table10[[#This Row],[delta $]]+AE168-SUM(Bills3[Amount]), N("deducts other bills at the end of each month")+
IF(Table10[[#This Row],[delta $]]&lt;&gt;0, Table10[[#This Row],[delta $]]+AE168,
AE168)),
"")</f>
        <v>6628</v>
      </c>
      <c r="AF169" s="151">
        <f ca="1">Table10[[#This Row],[sum per date]]-IF(MONTH(Table10[[#This Row],[dates]])=MONTH(TODAY()),
SUMIF(Bills3[Paid?], "&lt;&gt;Y", Bills3[Amount]), SUM(Bills3[Amount]))</f>
        <v>6008</v>
      </c>
      <c r="AG169" s="136" t="e">
        <f ca="1">IF(AND(
Table10[[#This Row],[fluctuation]]=MIN(INDEX(Table10[fluctuation], MATCH(TODAY(),Table10[dates], 0)):INDEX(Table10[fluctuation], MATCH(end_date,Table10[dates], 0))),
OR(ISNA(INDEX($AF$2:AF168, MATCH(Table10[[#This Row],[fluctuation]], $AF$2:AF168, 0))), ROW(AG169)=2)),
Table10[[#This Row],[fluctuation]],
NA())</f>
        <v>#N/A</v>
      </c>
    </row>
    <row r="170" spans="22:33" x14ac:dyDescent="0.25">
      <c r="V170" s="129">
        <v>43938</v>
      </c>
      <c r="W170" s="1">
        <f>DAY(income_future[[#This Row],[dates]])</f>
        <v>17</v>
      </c>
      <c r="X170" s="130">
        <f ca="1">SUMIF(income_curr[mod( )], MOD(V170, 14), income_curr[income])</f>
        <v>0</v>
      </c>
      <c r="Z170" s="148" t="str">
        <f ca="1">IF(TEXT(Table10[[#This Row],[dates]], "ddd")="Mon", 999999999, "")</f>
        <v/>
      </c>
      <c r="AA170" s="148" t="str">
        <f ca="1">IF(TODAY()=Table10[[#This Row],[dates]], TEXT(DATE(2019, MONTH(Table10[[#This Row],[dates]]), 1), "mmm"), IFERROR(IF(MONTH(Table10[[#This Row],[dates]])&lt;&gt;MONTH(AC169), TEXT(DATE(2019, MONTH(Table10[[#This Row],[dates]]), 1), "mmm"), ""), ""))</f>
        <v/>
      </c>
      <c r="AB170" s="149">
        <f ca="1">DAY('Data Preparation'!$AC170)</f>
        <v>26</v>
      </c>
      <c r="AC170" s="150">
        <f t="shared" ca="1" si="5"/>
        <v>43947</v>
      </c>
      <c r="AD17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0" s="136">
        <f ca="1">IFERROR(
IF(MONTH(Table10[[#This Row],[dates]])&lt;&gt;MONTH($AC169), Table10[[#This Row],[delta $]]+AE169-SUM(Bills3[Amount]), N("deducts other bills at the end of each month")+
IF(Table10[[#This Row],[delta $]]&lt;&gt;0, Table10[[#This Row],[delta $]]+AE169,
AE169)),
"")</f>
        <v>6628</v>
      </c>
      <c r="AF170" s="151">
        <f ca="1">Table10[[#This Row],[sum per date]]-IF(MONTH(Table10[[#This Row],[dates]])=MONTH(TODAY()),
SUMIF(Bills3[Paid?], "&lt;&gt;Y", Bills3[Amount]), SUM(Bills3[Amount]))</f>
        <v>6008</v>
      </c>
      <c r="AG170" s="136" t="e">
        <f ca="1">IF(AND(
Table10[[#This Row],[fluctuation]]=MIN(INDEX(Table10[fluctuation], MATCH(TODAY(),Table10[dates], 0)):INDEX(Table10[fluctuation], MATCH(end_date,Table10[dates], 0))),
OR(ISNA(INDEX($AF$2:AF169, MATCH(Table10[[#This Row],[fluctuation]], $AF$2:AF169, 0))), ROW(AG170)=2)),
Table10[[#This Row],[fluctuation]],
NA())</f>
        <v>#N/A</v>
      </c>
    </row>
    <row r="171" spans="22:33" x14ac:dyDescent="0.25">
      <c r="V171" s="129">
        <v>43939</v>
      </c>
      <c r="W171" s="1">
        <f>DAY(income_future[[#This Row],[dates]])</f>
        <v>18</v>
      </c>
      <c r="X171" s="130">
        <f ca="1">SUMIF(income_curr[mod( )], MOD(V171, 14), income_curr[income])</f>
        <v>1000</v>
      </c>
      <c r="Z171" s="148">
        <f ca="1">IF(TEXT(Table10[[#This Row],[dates]], "ddd")="Mon", 999999999, "")</f>
        <v>999999999</v>
      </c>
      <c r="AA171" s="148" t="str">
        <f ca="1">IF(TODAY()=Table10[[#This Row],[dates]], TEXT(DATE(2019, MONTH(Table10[[#This Row],[dates]]), 1), "mmm"), IFERROR(IF(MONTH(Table10[[#This Row],[dates]])&lt;&gt;MONTH(AC170), TEXT(DATE(2019, MONTH(Table10[[#This Row],[dates]]), 1), "mmm"), ""), ""))</f>
        <v/>
      </c>
      <c r="AB171" s="149">
        <f ca="1">DAY('Data Preparation'!$AC171)</f>
        <v>27</v>
      </c>
      <c r="AC171" s="150">
        <f t="shared" ca="1" si="5"/>
        <v>43948</v>
      </c>
      <c r="AD17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1" s="136">
        <f ca="1">IFERROR(
IF(MONTH(Table10[[#This Row],[dates]])&lt;&gt;MONTH($AC170), Table10[[#This Row],[delta $]]+AE170-SUM(Bills3[Amount]), N("deducts other bills at the end of each month")+
IF(Table10[[#This Row],[delta $]]&lt;&gt;0, Table10[[#This Row],[delta $]]+AE170,
AE170)),
"")</f>
        <v>6628</v>
      </c>
      <c r="AF171" s="151">
        <f ca="1">Table10[[#This Row],[sum per date]]-IF(MONTH(Table10[[#This Row],[dates]])=MONTH(TODAY()),
SUMIF(Bills3[Paid?], "&lt;&gt;Y", Bills3[Amount]), SUM(Bills3[Amount]))</f>
        <v>6008</v>
      </c>
      <c r="AG171" s="136" t="e">
        <f ca="1">IF(AND(
Table10[[#This Row],[fluctuation]]=MIN(INDEX(Table10[fluctuation], MATCH(TODAY(),Table10[dates], 0)):INDEX(Table10[fluctuation], MATCH(end_date,Table10[dates], 0))),
OR(ISNA(INDEX($AF$2:AF170, MATCH(Table10[[#This Row],[fluctuation]], $AF$2:AF170, 0))), ROW(AG171)=2)),
Table10[[#This Row],[fluctuation]],
NA())</f>
        <v>#N/A</v>
      </c>
    </row>
    <row r="172" spans="22:33" x14ac:dyDescent="0.25">
      <c r="V172" s="129">
        <v>43940</v>
      </c>
      <c r="W172" s="1">
        <f>DAY(income_future[[#This Row],[dates]])</f>
        <v>19</v>
      </c>
      <c r="X172" s="130">
        <f ca="1">SUMIF(income_curr[mod( )], MOD(V172, 14), income_curr[income])</f>
        <v>0</v>
      </c>
      <c r="Z172" s="148" t="str">
        <f ca="1">IF(TEXT(Table10[[#This Row],[dates]], "ddd")="Mon", 999999999, "")</f>
        <v/>
      </c>
      <c r="AA172" s="148" t="str">
        <f ca="1">IF(TODAY()=Table10[[#This Row],[dates]], TEXT(DATE(2019, MONTH(Table10[[#This Row],[dates]]), 1), "mmm"), IFERROR(IF(MONTH(Table10[[#This Row],[dates]])&lt;&gt;MONTH(AC171), TEXT(DATE(2019, MONTH(Table10[[#This Row],[dates]]), 1), "mmm"), ""), ""))</f>
        <v/>
      </c>
      <c r="AB172" s="149">
        <f ca="1">DAY('Data Preparation'!$AC172)</f>
        <v>28</v>
      </c>
      <c r="AC172" s="150">
        <f t="shared" ca="1" si="5"/>
        <v>43949</v>
      </c>
      <c r="AD17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2" s="136">
        <f ca="1">IFERROR(
IF(MONTH(Table10[[#This Row],[dates]])&lt;&gt;MONTH($AC171), Table10[[#This Row],[delta $]]+AE171-SUM(Bills3[Amount]), N("deducts other bills at the end of each month")+
IF(Table10[[#This Row],[delta $]]&lt;&gt;0, Table10[[#This Row],[delta $]]+AE171,
AE171)),
"")</f>
        <v>6628</v>
      </c>
      <c r="AF172" s="151">
        <f ca="1">Table10[[#This Row],[sum per date]]-IF(MONTH(Table10[[#This Row],[dates]])=MONTH(TODAY()),
SUMIF(Bills3[Paid?], "&lt;&gt;Y", Bills3[Amount]), SUM(Bills3[Amount]))</f>
        <v>6008</v>
      </c>
      <c r="AG172" s="136" t="e">
        <f ca="1">IF(AND(
Table10[[#This Row],[fluctuation]]=MIN(INDEX(Table10[fluctuation], MATCH(TODAY(),Table10[dates], 0)):INDEX(Table10[fluctuation], MATCH(end_date,Table10[dates], 0))),
OR(ISNA(INDEX($AF$2:AF171, MATCH(Table10[[#This Row],[fluctuation]], $AF$2:AF171, 0))), ROW(AG172)=2)),
Table10[[#This Row],[fluctuation]],
NA())</f>
        <v>#N/A</v>
      </c>
    </row>
    <row r="173" spans="22:33" x14ac:dyDescent="0.25">
      <c r="V173" s="129">
        <v>43941</v>
      </c>
      <c r="W173" s="1">
        <f>DAY(income_future[[#This Row],[dates]])</f>
        <v>20</v>
      </c>
      <c r="X173" s="130">
        <f ca="1">SUMIF(income_curr[mod( )], MOD(V173, 14), income_curr[income])</f>
        <v>0</v>
      </c>
      <c r="Z173" s="148" t="str">
        <f ca="1">IF(TEXT(Table10[[#This Row],[dates]], "ddd")="Mon", 999999999, "")</f>
        <v/>
      </c>
      <c r="AA173" s="148" t="str">
        <f ca="1">IF(TODAY()=Table10[[#This Row],[dates]], TEXT(DATE(2019, MONTH(Table10[[#This Row],[dates]]), 1), "mmm"), IFERROR(IF(MONTH(Table10[[#This Row],[dates]])&lt;&gt;MONTH(AC172), TEXT(DATE(2019, MONTH(Table10[[#This Row],[dates]]), 1), "mmm"), ""), ""))</f>
        <v/>
      </c>
      <c r="AB173" s="149">
        <f ca="1">DAY('Data Preparation'!$AC173)</f>
        <v>29</v>
      </c>
      <c r="AC173" s="150">
        <f t="shared" ca="1" si="5"/>
        <v>43950</v>
      </c>
      <c r="AD17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3" s="136">
        <f ca="1">IFERROR(
IF(MONTH(Table10[[#This Row],[dates]])&lt;&gt;MONTH($AC172), Table10[[#This Row],[delta $]]+AE172-SUM(Bills3[Amount]), N("deducts other bills at the end of each month")+
IF(Table10[[#This Row],[delta $]]&lt;&gt;0, Table10[[#This Row],[delta $]]+AE172,
AE172)),
"")</f>
        <v>6628</v>
      </c>
      <c r="AF173" s="151">
        <f ca="1">Table10[[#This Row],[sum per date]]-IF(MONTH(Table10[[#This Row],[dates]])=MONTH(TODAY()),
SUMIF(Bills3[Paid?], "&lt;&gt;Y", Bills3[Amount]), SUM(Bills3[Amount]))</f>
        <v>6008</v>
      </c>
      <c r="AG173" s="136" t="e">
        <f ca="1">IF(AND(
Table10[[#This Row],[fluctuation]]=MIN(INDEX(Table10[fluctuation], MATCH(TODAY(),Table10[dates], 0)):INDEX(Table10[fluctuation], MATCH(end_date,Table10[dates], 0))),
OR(ISNA(INDEX($AF$2:AF172, MATCH(Table10[[#This Row],[fluctuation]], $AF$2:AF172, 0))), ROW(AG173)=2)),
Table10[[#This Row],[fluctuation]],
NA())</f>
        <v>#N/A</v>
      </c>
    </row>
    <row r="174" spans="22:33" x14ac:dyDescent="0.25">
      <c r="V174" s="129">
        <v>43942</v>
      </c>
      <c r="W174" s="1">
        <f>DAY(income_future[[#This Row],[dates]])</f>
        <v>21</v>
      </c>
      <c r="X174" s="130">
        <f ca="1">SUMIF(income_curr[mod( )], MOD(V174, 14), income_curr[income])</f>
        <v>0</v>
      </c>
      <c r="Z174" s="148" t="str">
        <f ca="1">IF(TEXT(Table10[[#This Row],[dates]], "ddd")="Mon", 999999999, "")</f>
        <v/>
      </c>
      <c r="AA174" s="148" t="str">
        <f ca="1">IF(TODAY()=Table10[[#This Row],[dates]], TEXT(DATE(2019, MONTH(Table10[[#This Row],[dates]]), 1), "mmm"), IFERROR(IF(MONTH(Table10[[#This Row],[dates]])&lt;&gt;MONTH(AC173), TEXT(DATE(2019, MONTH(Table10[[#This Row],[dates]]), 1), "mmm"), ""), ""))</f>
        <v/>
      </c>
      <c r="AB174" s="149">
        <f ca="1">DAY('Data Preparation'!$AC174)</f>
        <v>30</v>
      </c>
      <c r="AC174" s="150">
        <f t="shared" ca="1" si="5"/>
        <v>43951</v>
      </c>
      <c r="AD17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4" s="136">
        <f ca="1">IFERROR(
IF(MONTH(Table10[[#This Row],[dates]])&lt;&gt;MONTH($AC173), Table10[[#This Row],[delta $]]+AE173-SUM(Bills3[Amount]), N("deducts other bills at the end of each month")+
IF(Table10[[#This Row],[delta $]]&lt;&gt;0, Table10[[#This Row],[delta $]]+AE173,
AE173)),
"")</f>
        <v>6628</v>
      </c>
      <c r="AF174" s="151">
        <f ca="1">Table10[[#This Row],[sum per date]]-IF(MONTH(Table10[[#This Row],[dates]])=MONTH(TODAY()),
SUMIF(Bills3[Paid?], "&lt;&gt;Y", Bills3[Amount]), SUM(Bills3[Amount]))</f>
        <v>6008</v>
      </c>
      <c r="AG174" s="136" t="e">
        <f ca="1">IF(AND(
Table10[[#This Row],[fluctuation]]=MIN(INDEX(Table10[fluctuation], MATCH(TODAY(),Table10[dates], 0)):INDEX(Table10[fluctuation], MATCH(end_date,Table10[dates], 0))),
OR(ISNA(INDEX($AF$2:AF173, MATCH(Table10[[#This Row],[fluctuation]], $AF$2:AF173, 0))), ROW(AG174)=2)),
Table10[[#This Row],[fluctuation]],
NA())</f>
        <v>#N/A</v>
      </c>
    </row>
    <row r="175" spans="22:33" x14ac:dyDescent="0.25">
      <c r="V175" s="129">
        <v>43943</v>
      </c>
      <c r="W175" s="1">
        <f>DAY(income_future[[#This Row],[dates]])</f>
        <v>22</v>
      </c>
      <c r="X175" s="130">
        <f ca="1">SUMIF(income_curr[mod( )], MOD(V175, 14), income_curr[income])</f>
        <v>0</v>
      </c>
      <c r="Z175" s="148" t="str">
        <f ca="1">IF(TEXT(Table10[[#This Row],[dates]], "ddd")="Mon", 999999999, "")</f>
        <v/>
      </c>
      <c r="AA175" s="148" t="str">
        <f ca="1">IF(TODAY()=Table10[[#This Row],[dates]], TEXT(DATE(2019, MONTH(Table10[[#This Row],[dates]]), 1), "mmm"), IFERROR(IF(MONTH(Table10[[#This Row],[dates]])&lt;&gt;MONTH(AC174), TEXT(DATE(2019, MONTH(Table10[[#This Row],[dates]]), 1), "mmm"), ""), ""))</f>
        <v>May</v>
      </c>
      <c r="AB175" s="149">
        <f ca="1">DAY('Data Preparation'!$AC175)</f>
        <v>1</v>
      </c>
      <c r="AC175" s="150">
        <f t="shared" ca="1" si="5"/>
        <v>43952</v>
      </c>
      <c r="AD175"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-600</v>
      </c>
      <c r="AE175" s="136">
        <f ca="1">IFERROR(
IF(MONTH(Table10[[#This Row],[dates]])&lt;&gt;MONTH($AC174), Table10[[#This Row],[delta $]]+AE174-SUM(Bills3[Amount]), N("deducts other bills at the end of each month")+
IF(Table10[[#This Row],[delta $]]&lt;&gt;0, Table10[[#This Row],[delta $]]+AE174,
AE174)),
"")</f>
        <v>5408</v>
      </c>
      <c r="AF175" s="151">
        <f ca="1">Table10[[#This Row],[sum per date]]-IF(MONTH(Table10[[#This Row],[dates]])=MONTH(TODAY()),
SUMIF(Bills3[Paid?], "&lt;&gt;Y", Bills3[Amount]), SUM(Bills3[Amount]))</f>
        <v>4788</v>
      </c>
      <c r="AG175" s="136" t="e">
        <f ca="1">IF(AND(
Table10[[#This Row],[fluctuation]]=MIN(INDEX(Table10[fluctuation], MATCH(TODAY(),Table10[dates], 0)):INDEX(Table10[fluctuation], MATCH(end_date,Table10[dates], 0))),
OR(ISNA(INDEX($AF$2:AF174, MATCH(Table10[[#This Row],[fluctuation]], $AF$2:AF174, 0))), ROW(AG175)=2)),
Table10[[#This Row],[fluctuation]],
NA())</f>
        <v>#N/A</v>
      </c>
    </row>
    <row r="176" spans="22:33" x14ac:dyDescent="0.25">
      <c r="V176" s="129">
        <v>43944</v>
      </c>
      <c r="W176" s="1">
        <f>DAY(income_future[[#This Row],[dates]])</f>
        <v>23</v>
      </c>
      <c r="X176" s="130">
        <f ca="1">SUMIF(income_curr[mod( )], MOD(V176, 14), income_curr[income])</f>
        <v>0</v>
      </c>
      <c r="Z176" s="148" t="str">
        <f ca="1">IF(TEXT(Table10[[#This Row],[dates]], "ddd")="Mon", 999999999, "")</f>
        <v/>
      </c>
      <c r="AA176" s="148" t="str">
        <f ca="1">IF(TODAY()=Table10[[#This Row],[dates]], TEXT(DATE(2019, MONTH(Table10[[#This Row],[dates]]), 1), "mmm"), IFERROR(IF(MONTH(Table10[[#This Row],[dates]])&lt;&gt;MONTH(AC175), TEXT(DATE(2019, MONTH(Table10[[#This Row],[dates]]), 1), "mmm"), ""), ""))</f>
        <v/>
      </c>
      <c r="AB176" s="149">
        <f ca="1">DAY('Data Preparation'!$AC176)</f>
        <v>2</v>
      </c>
      <c r="AC176" s="150">
        <f t="shared" ca="1" si="5"/>
        <v>43953</v>
      </c>
      <c r="AD176"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6" s="136">
        <f ca="1">IFERROR(
IF(MONTH(Table10[[#This Row],[dates]])&lt;&gt;MONTH($AC175), Table10[[#This Row],[delta $]]+AE175-SUM(Bills3[Amount]), N("deducts other bills at the end of each month")+
IF(Table10[[#This Row],[delta $]]&lt;&gt;0, Table10[[#This Row],[delta $]]+AE175,
AE175)),
"")</f>
        <v>5408</v>
      </c>
      <c r="AF176" s="151">
        <f ca="1">Table10[[#This Row],[sum per date]]-IF(MONTH(Table10[[#This Row],[dates]])=MONTH(TODAY()),
SUMIF(Bills3[Paid?], "&lt;&gt;Y", Bills3[Amount]), SUM(Bills3[Amount]))</f>
        <v>4788</v>
      </c>
      <c r="AG176" s="136" t="e">
        <f ca="1">IF(AND(
Table10[[#This Row],[fluctuation]]=MIN(INDEX(Table10[fluctuation], MATCH(TODAY(),Table10[dates], 0)):INDEX(Table10[fluctuation], MATCH(end_date,Table10[dates], 0))),
OR(ISNA(INDEX($AF$2:AF175, MATCH(Table10[[#This Row],[fluctuation]], $AF$2:AF175, 0))), ROW(AG176)=2)),
Table10[[#This Row],[fluctuation]],
NA())</f>
        <v>#N/A</v>
      </c>
    </row>
    <row r="177" spans="22:33" x14ac:dyDescent="0.25">
      <c r="V177" s="129">
        <v>43945</v>
      </c>
      <c r="W177" s="1">
        <f>DAY(income_future[[#This Row],[dates]])</f>
        <v>24</v>
      </c>
      <c r="X177" s="130">
        <f ca="1">SUMIF(income_curr[mod( )], MOD(V177, 14), income_curr[income])</f>
        <v>0</v>
      </c>
      <c r="Z177" s="148" t="str">
        <f ca="1">IF(TEXT(Table10[[#This Row],[dates]], "ddd")="Mon", 999999999, "")</f>
        <v/>
      </c>
      <c r="AA177" s="148" t="str">
        <f ca="1">IF(TODAY()=Table10[[#This Row],[dates]], TEXT(DATE(2019, MONTH(Table10[[#This Row],[dates]]), 1), "mmm"), IFERROR(IF(MONTH(Table10[[#This Row],[dates]])&lt;&gt;MONTH(AC176), TEXT(DATE(2019, MONTH(Table10[[#This Row],[dates]]), 1), "mmm"), ""), ""))</f>
        <v/>
      </c>
      <c r="AB177" s="149">
        <f ca="1">DAY('Data Preparation'!$AC177)</f>
        <v>3</v>
      </c>
      <c r="AC177" s="150">
        <f t="shared" ca="1" si="5"/>
        <v>43954</v>
      </c>
      <c r="AD177"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7" s="136">
        <f ca="1">IFERROR(
IF(MONTH(Table10[[#This Row],[dates]])&lt;&gt;MONTH($AC176), Table10[[#This Row],[delta $]]+AE176-SUM(Bills3[Amount]), N("deducts other bills at the end of each month")+
IF(Table10[[#This Row],[delta $]]&lt;&gt;0, Table10[[#This Row],[delta $]]+AE176,
AE176)),
"")</f>
        <v>5408</v>
      </c>
      <c r="AF177" s="151">
        <f ca="1">Table10[[#This Row],[sum per date]]-IF(MONTH(Table10[[#This Row],[dates]])=MONTH(TODAY()),
SUMIF(Bills3[Paid?], "&lt;&gt;Y", Bills3[Amount]), SUM(Bills3[Amount]))</f>
        <v>4788</v>
      </c>
      <c r="AG177" s="136" t="e">
        <f ca="1">IF(AND(
Table10[[#This Row],[fluctuation]]=MIN(INDEX(Table10[fluctuation], MATCH(TODAY(),Table10[dates], 0)):INDEX(Table10[fluctuation], MATCH(end_date,Table10[dates], 0))),
OR(ISNA(INDEX($AF$2:AF176, MATCH(Table10[[#This Row],[fluctuation]], $AF$2:AF176, 0))), ROW(AG177)=2)),
Table10[[#This Row],[fluctuation]],
NA())</f>
        <v>#N/A</v>
      </c>
    </row>
    <row r="178" spans="22:33" x14ac:dyDescent="0.25">
      <c r="V178" s="129">
        <v>43946</v>
      </c>
      <c r="W178" s="1">
        <f>DAY(income_future[[#This Row],[dates]])</f>
        <v>25</v>
      </c>
      <c r="X178" s="130">
        <f ca="1">SUMIF(income_curr[mod( )], MOD(V178, 14), income_curr[income])</f>
        <v>0</v>
      </c>
      <c r="Z178" s="148">
        <f ca="1">IF(TEXT(Table10[[#This Row],[dates]], "ddd")="Mon", 999999999, "")</f>
        <v>999999999</v>
      </c>
      <c r="AA178" s="148" t="str">
        <f ca="1">IF(TODAY()=Table10[[#This Row],[dates]], TEXT(DATE(2019, MONTH(Table10[[#This Row],[dates]]), 1), "mmm"), IFERROR(IF(MONTH(Table10[[#This Row],[dates]])&lt;&gt;MONTH(AC177), TEXT(DATE(2019, MONTH(Table10[[#This Row],[dates]]), 1), "mmm"), ""), ""))</f>
        <v/>
      </c>
      <c r="AB178" s="149">
        <f ca="1">DAY('Data Preparation'!$AC178)</f>
        <v>4</v>
      </c>
      <c r="AC178" s="150">
        <f t="shared" ca="1" si="5"/>
        <v>43955</v>
      </c>
      <c r="AD178"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8" s="136">
        <f ca="1">IFERROR(
IF(MONTH(Table10[[#This Row],[dates]])&lt;&gt;MONTH($AC177), Table10[[#This Row],[delta $]]+AE177-SUM(Bills3[Amount]), N("deducts other bills at the end of each month")+
IF(Table10[[#This Row],[delta $]]&lt;&gt;0, Table10[[#This Row],[delta $]]+AE177,
AE177)),
"")</f>
        <v>5408</v>
      </c>
      <c r="AF178" s="151">
        <f ca="1">Table10[[#This Row],[sum per date]]-IF(MONTH(Table10[[#This Row],[dates]])=MONTH(TODAY()),
SUMIF(Bills3[Paid?], "&lt;&gt;Y", Bills3[Amount]), SUM(Bills3[Amount]))</f>
        <v>4788</v>
      </c>
      <c r="AG178" s="136" t="e">
        <f ca="1">IF(AND(
Table10[[#This Row],[fluctuation]]=MIN(INDEX(Table10[fluctuation], MATCH(TODAY(),Table10[dates], 0)):INDEX(Table10[fluctuation], MATCH(end_date,Table10[dates], 0))),
OR(ISNA(INDEX($AF$2:AF177, MATCH(Table10[[#This Row],[fluctuation]], $AF$2:AF177, 0))), ROW(AG178)=2)),
Table10[[#This Row],[fluctuation]],
NA())</f>
        <v>#N/A</v>
      </c>
    </row>
    <row r="179" spans="22:33" x14ac:dyDescent="0.25">
      <c r="V179" s="129">
        <v>43947</v>
      </c>
      <c r="W179" s="1">
        <f>DAY(income_future[[#This Row],[dates]])</f>
        <v>26</v>
      </c>
      <c r="X179" s="130">
        <f ca="1">SUMIF(income_curr[mod( )], MOD(V179, 14), income_curr[income])</f>
        <v>0</v>
      </c>
      <c r="Z179" s="148" t="str">
        <f ca="1">IF(TEXT(Table10[[#This Row],[dates]], "ddd")="Mon", 999999999, "")</f>
        <v/>
      </c>
      <c r="AA179" s="148" t="str">
        <f ca="1">IF(TODAY()=Table10[[#This Row],[dates]], TEXT(DATE(2019, MONTH(Table10[[#This Row],[dates]]), 1), "mmm"), IFERROR(IF(MONTH(Table10[[#This Row],[dates]])&lt;&gt;MONTH(AC178), TEXT(DATE(2019, MONTH(Table10[[#This Row],[dates]]), 1), "mmm"), ""), ""))</f>
        <v/>
      </c>
      <c r="AB179" s="149">
        <f ca="1">DAY('Data Preparation'!$AC179)</f>
        <v>5</v>
      </c>
      <c r="AC179" s="150">
        <f t="shared" ca="1" si="5"/>
        <v>43956</v>
      </c>
      <c r="AD179"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79" s="136">
        <f ca="1">IFERROR(
IF(MONTH(Table10[[#This Row],[dates]])&lt;&gt;MONTH($AC178), Table10[[#This Row],[delta $]]+AE178-SUM(Bills3[Amount]), N("deducts other bills at the end of each month")+
IF(Table10[[#This Row],[delta $]]&lt;&gt;0, Table10[[#This Row],[delta $]]+AE178,
AE178)),
"")</f>
        <v>5408</v>
      </c>
      <c r="AF179" s="151">
        <f ca="1">Table10[[#This Row],[sum per date]]-IF(MONTH(Table10[[#This Row],[dates]])=MONTH(TODAY()),
SUMIF(Bills3[Paid?], "&lt;&gt;Y", Bills3[Amount]), SUM(Bills3[Amount]))</f>
        <v>4788</v>
      </c>
      <c r="AG179" s="136" t="e">
        <f ca="1">IF(AND(
Table10[[#This Row],[fluctuation]]=MIN(INDEX(Table10[fluctuation], MATCH(TODAY(),Table10[dates], 0)):INDEX(Table10[fluctuation], MATCH(end_date,Table10[dates], 0))),
OR(ISNA(INDEX($AF$2:AF178, MATCH(Table10[[#This Row],[fluctuation]], $AF$2:AF178, 0))), ROW(AG179)=2)),
Table10[[#This Row],[fluctuation]],
NA())</f>
        <v>#N/A</v>
      </c>
    </row>
    <row r="180" spans="22:33" x14ac:dyDescent="0.25">
      <c r="V180" s="129">
        <v>43948</v>
      </c>
      <c r="W180" s="1">
        <f>DAY(income_future[[#This Row],[dates]])</f>
        <v>27</v>
      </c>
      <c r="X180" s="130">
        <f ca="1">SUMIF(income_curr[mod( )], MOD(V180, 14), income_curr[income])</f>
        <v>0</v>
      </c>
      <c r="Z180" s="148" t="str">
        <f ca="1">IF(TEXT(Table10[[#This Row],[dates]], "ddd")="Mon", 999999999, "")</f>
        <v/>
      </c>
      <c r="AA180" s="148" t="str">
        <f ca="1">IF(TODAY()=Table10[[#This Row],[dates]], TEXT(DATE(2019, MONTH(Table10[[#This Row],[dates]]), 1), "mmm"), IFERROR(IF(MONTH(Table10[[#This Row],[dates]])&lt;&gt;MONTH(AC179), TEXT(DATE(2019, MONTH(Table10[[#This Row],[dates]]), 1), "mmm"), ""), ""))</f>
        <v/>
      </c>
      <c r="AB180" s="149">
        <f ca="1">DAY('Data Preparation'!$AC180)</f>
        <v>6</v>
      </c>
      <c r="AC180" s="150">
        <f t="shared" ca="1" si="5"/>
        <v>43957</v>
      </c>
      <c r="AD180"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0" s="136">
        <f ca="1">IFERROR(
IF(MONTH(Table10[[#This Row],[dates]])&lt;&gt;MONTH($AC179), Table10[[#This Row],[delta $]]+AE179-SUM(Bills3[Amount]), N("deducts other bills at the end of each month")+
IF(Table10[[#This Row],[delta $]]&lt;&gt;0, Table10[[#This Row],[delta $]]+AE179,
AE179)),
"")</f>
        <v>5408</v>
      </c>
      <c r="AF180" s="151">
        <f ca="1">Table10[[#This Row],[sum per date]]-IF(MONTH(Table10[[#This Row],[dates]])=MONTH(TODAY()),
SUMIF(Bills3[Paid?], "&lt;&gt;Y", Bills3[Amount]), SUM(Bills3[Amount]))</f>
        <v>4788</v>
      </c>
      <c r="AG180" s="136" t="e">
        <f ca="1">IF(AND(
Table10[[#This Row],[fluctuation]]=MIN(INDEX(Table10[fluctuation], MATCH(TODAY(),Table10[dates], 0)):INDEX(Table10[fluctuation], MATCH(end_date,Table10[dates], 0))),
OR(ISNA(INDEX($AF$2:AF179, MATCH(Table10[[#This Row],[fluctuation]], $AF$2:AF179, 0))), ROW(AG180)=2)),
Table10[[#This Row],[fluctuation]],
NA())</f>
        <v>#N/A</v>
      </c>
    </row>
    <row r="181" spans="22:33" x14ac:dyDescent="0.25">
      <c r="V181" s="129">
        <v>43949</v>
      </c>
      <c r="W181" s="1">
        <f>DAY(income_future[[#This Row],[dates]])</f>
        <v>28</v>
      </c>
      <c r="X181" s="130">
        <f ca="1">SUMIF(income_curr[mod( )], MOD(V181, 14), income_curr[income])</f>
        <v>0</v>
      </c>
      <c r="Z181" s="148" t="str">
        <f ca="1">IF(TEXT(Table10[[#This Row],[dates]], "ddd")="Mon", 999999999, "")</f>
        <v/>
      </c>
      <c r="AA181" s="148" t="str">
        <f ca="1">IF(TODAY()=Table10[[#This Row],[dates]], TEXT(DATE(2019, MONTH(Table10[[#This Row],[dates]]), 1), "mmm"), IFERROR(IF(MONTH(Table10[[#This Row],[dates]])&lt;&gt;MONTH(AC180), TEXT(DATE(2019, MONTH(Table10[[#This Row],[dates]]), 1), "mmm"), ""), ""))</f>
        <v/>
      </c>
      <c r="AB181" s="149">
        <f ca="1">DAY('Data Preparation'!$AC181)</f>
        <v>7</v>
      </c>
      <c r="AC181" s="150">
        <f t="shared" ca="1" si="5"/>
        <v>43958</v>
      </c>
      <c r="AD181"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1" s="136">
        <f ca="1">IFERROR(
IF(MONTH(Table10[[#This Row],[dates]])&lt;&gt;MONTH($AC180), Table10[[#This Row],[delta $]]+AE180-SUM(Bills3[Amount]), N("deducts other bills at the end of each month")+
IF(Table10[[#This Row],[delta $]]&lt;&gt;0, Table10[[#This Row],[delta $]]+AE180,
AE180)),
"")</f>
        <v>5408</v>
      </c>
      <c r="AF181" s="151">
        <f ca="1">Table10[[#This Row],[sum per date]]-IF(MONTH(Table10[[#This Row],[dates]])=MONTH(TODAY()),
SUMIF(Bills3[Paid?], "&lt;&gt;Y", Bills3[Amount]), SUM(Bills3[Amount]))</f>
        <v>4788</v>
      </c>
      <c r="AG181" s="136" t="e">
        <f ca="1">IF(AND(
Table10[[#This Row],[fluctuation]]=MIN(INDEX(Table10[fluctuation], MATCH(TODAY(),Table10[dates], 0)):INDEX(Table10[fluctuation], MATCH(end_date,Table10[dates], 0))),
OR(ISNA(INDEX($AF$2:AF180, MATCH(Table10[[#This Row],[fluctuation]], $AF$2:AF180, 0))), ROW(AG181)=2)),
Table10[[#This Row],[fluctuation]],
NA())</f>
        <v>#N/A</v>
      </c>
    </row>
    <row r="182" spans="22:33" x14ac:dyDescent="0.25">
      <c r="V182" s="129">
        <v>43950</v>
      </c>
      <c r="W182" s="1">
        <f>DAY(income_future[[#This Row],[dates]])</f>
        <v>29</v>
      </c>
      <c r="X182" s="130">
        <f ca="1">SUMIF(income_curr[mod( )], MOD(V182, 14), income_curr[income])</f>
        <v>0</v>
      </c>
      <c r="Z182" s="148" t="str">
        <f ca="1">IF(TEXT(Table10[[#This Row],[dates]], "ddd")="Mon", 999999999, "")</f>
        <v/>
      </c>
      <c r="AA182" s="148" t="str">
        <f ca="1">IF(TODAY()=Table10[[#This Row],[dates]], TEXT(DATE(2019, MONTH(Table10[[#This Row],[dates]]), 1), "mmm"), IFERROR(IF(MONTH(Table10[[#This Row],[dates]])&lt;&gt;MONTH(AC181), TEXT(DATE(2019, MONTH(Table10[[#This Row],[dates]]), 1), "mmm"), ""), ""))</f>
        <v/>
      </c>
      <c r="AB182" s="149">
        <f ca="1">DAY('Data Preparation'!$AC182)</f>
        <v>8</v>
      </c>
      <c r="AC182" s="150">
        <f t="shared" ca="1" si="5"/>
        <v>43959</v>
      </c>
      <c r="AD182"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2" s="136">
        <f ca="1">IFERROR(
IF(MONTH(Table10[[#This Row],[dates]])&lt;&gt;MONTH($AC181), Table10[[#This Row],[delta $]]+AE181-SUM(Bills3[Amount]), N("deducts other bills at the end of each month")+
IF(Table10[[#This Row],[delta $]]&lt;&gt;0, Table10[[#This Row],[delta $]]+AE181,
AE181)),
"")</f>
        <v>5408</v>
      </c>
      <c r="AF182" s="151">
        <f ca="1">Table10[[#This Row],[sum per date]]-IF(MONTH(Table10[[#This Row],[dates]])=MONTH(TODAY()),
SUMIF(Bills3[Paid?], "&lt;&gt;Y", Bills3[Amount]), SUM(Bills3[Amount]))</f>
        <v>4788</v>
      </c>
      <c r="AG182" s="136" t="e">
        <f ca="1">IF(AND(
Table10[[#This Row],[fluctuation]]=MIN(INDEX(Table10[fluctuation], MATCH(TODAY(),Table10[dates], 0)):INDEX(Table10[fluctuation], MATCH(end_date,Table10[dates], 0))),
OR(ISNA(INDEX($AF$2:AF181, MATCH(Table10[[#This Row],[fluctuation]], $AF$2:AF181, 0))), ROW(AG182)=2)),
Table10[[#This Row],[fluctuation]],
NA())</f>
        <v>#N/A</v>
      </c>
    </row>
    <row r="183" spans="22:33" x14ac:dyDescent="0.25">
      <c r="V183" s="129">
        <v>43951</v>
      </c>
      <c r="W183" s="1">
        <f>DAY(income_future[[#This Row],[dates]])</f>
        <v>30</v>
      </c>
      <c r="X183" s="130">
        <f ca="1">SUMIF(income_curr[mod( )], MOD(V183, 14), income_curr[income])</f>
        <v>0</v>
      </c>
      <c r="Z183" s="148" t="str">
        <f ca="1">IF(TEXT(Table10[[#This Row],[dates]], "ddd")="Mon", 999999999, "")</f>
        <v/>
      </c>
      <c r="AA183" s="148" t="str">
        <f ca="1">IF(TODAY()=Table10[[#This Row],[dates]], TEXT(DATE(2019, MONTH(Table10[[#This Row],[dates]]), 1), "mmm"), IFERROR(IF(MONTH(Table10[[#This Row],[dates]])&lt;&gt;MONTH(AC182), TEXT(DATE(2019, MONTH(Table10[[#This Row],[dates]]), 1), "mmm"), ""), ""))</f>
        <v/>
      </c>
      <c r="AB183" s="149">
        <f ca="1">DAY('Data Preparation'!$AC183)</f>
        <v>9</v>
      </c>
      <c r="AC183" s="150">
        <f t="shared" ca="1" si="5"/>
        <v>43960</v>
      </c>
      <c r="AD183"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3" s="136">
        <f ca="1">IFERROR(
IF(MONTH(Table10[[#This Row],[dates]])&lt;&gt;MONTH($AC182), Table10[[#This Row],[delta $]]+AE182-SUM(Bills3[Amount]), N("deducts other bills at the end of each month")+
IF(Table10[[#This Row],[delta $]]&lt;&gt;0, Table10[[#This Row],[delta $]]+AE182,
AE182)),
"")</f>
        <v>5408</v>
      </c>
      <c r="AF183" s="151">
        <f ca="1">Table10[[#This Row],[sum per date]]-IF(MONTH(Table10[[#This Row],[dates]])=MONTH(TODAY()),
SUMIF(Bills3[Paid?], "&lt;&gt;Y", Bills3[Amount]), SUM(Bills3[Amount]))</f>
        <v>4788</v>
      </c>
      <c r="AG183" s="136" t="e">
        <f ca="1">IF(AND(
Table10[[#This Row],[fluctuation]]=MIN(INDEX(Table10[fluctuation], MATCH(TODAY(),Table10[dates], 0)):INDEX(Table10[fluctuation], MATCH(end_date,Table10[dates], 0))),
OR(ISNA(INDEX($AF$2:AF182, MATCH(Table10[[#This Row],[fluctuation]], $AF$2:AF182, 0))), ROW(AG183)=2)),
Table10[[#This Row],[fluctuation]],
NA())</f>
        <v>#N/A</v>
      </c>
    </row>
    <row r="184" spans="22:33" x14ac:dyDescent="0.25">
      <c r="V184" s="129">
        <v>43952</v>
      </c>
      <c r="W184" s="1">
        <f>DAY(income_future[[#This Row],[dates]])</f>
        <v>1</v>
      </c>
      <c r="X184" s="130">
        <f ca="1">SUMIF(income_curr[mod( )], MOD(V184, 14), income_curr[income])</f>
        <v>0</v>
      </c>
      <c r="Z184" s="148" t="str">
        <f ca="1">IF(TEXT(Table10[[#This Row],[dates]], "ddd")="Mon", 999999999, "")</f>
        <v/>
      </c>
      <c r="AA184" s="148" t="str">
        <f ca="1">IF(TODAY()=Table10[[#This Row],[dates]], TEXT(DATE(2019, MONTH(Table10[[#This Row],[dates]]), 1), "mmm"), IFERROR(IF(MONTH(Table10[[#This Row],[dates]])&lt;&gt;MONTH(AC183), TEXT(DATE(2019, MONTH(Table10[[#This Row],[dates]]), 1), "mmm"), ""), ""))</f>
        <v/>
      </c>
      <c r="AB184" s="149">
        <f ca="1">DAY('Data Preparation'!$AC184)</f>
        <v>10</v>
      </c>
      <c r="AC184" s="150">
        <f t="shared" ca="1" si="5"/>
        <v>43961</v>
      </c>
      <c r="AD184" s="139">
        <f ca="1">SUM(
SUMIF(bills_curr_mo[dates], Table10[[#This Row],[dates]],bills_curr_mo[bills]),
SUMIF(bills_curr_plus1[dates], Table10[[#This Row],[dates]],bills_curr_plus1[bills]),
SUMIF(bills_curr_plus2[dates], Table10[[#This Row],[dates]],bills_curr_plus2[bills]),
SUMIF(bills_curr_plus3[dates], Table10[[#This Row],[dates]],bills_curr_plus3[bills]),
SUMIF(bills_curr_plus4[dates], Table10[[#This Row],[dates]],bills_curr_plus4[bills]),
SUMIF(bills_curr_plus5[dates], Table10[[#This Row],[dates]],bills_curr_plus5[bills]),
SUMIF(bills_curr_plus6[dates], Table10[[#This Row],[dates]],bills_curr_plus6[bills]),
SUMIF(income_future[dates], Table10[[#This Row],[dates]],income_future[income]))</f>
        <v>0</v>
      </c>
      <c r="AE184" s="136">
        <f ca="1">IFERROR(
IF(MONTH(Table10[[#This Row],[dates]])&lt;&gt;MONTH($AC183), Table10[[#This Row],[delta $]]+AE183-SUM(Bills3[Amount]), N("deducts other bills at the end of each month")+
IF(Table10[[#This Row],[delta $]]&lt;&gt;0, Table10[[#This Row],[delta $]]+AE183,
AE183)),
"")</f>
        <v>5408</v>
      </c>
      <c r="AF184" s="151">
        <f ca="1">Table10[[#This Row],[sum per date]]-IF(MONTH(Table10[[#This Row],[dates]])=MONTH(TODAY()),
SUMIF(Bills3[Paid?], "&lt;&gt;Y", Bills3[Amount]), SUM(Bills3[Amount]))</f>
        <v>4788</v>
      </c>
      <c r="AG184" s="136" t="e">
        <f ca="1">IF(AND(
Table10[[#This Row],[fluctuation]]=MIN(INDEX(Table10[fluctuation], MATCH(TODAY(),Table10[dates], 0)):INDEX(Table10[fluctuation], MATCH(end_date,Table10[dates], 0))),
OR(ISNA(INDEX($AF$2:AF183, MATCH(Table10[[#This Row],[fluctuation]], $AF$2:AF183, 0))), ROW(AG184)=2)),
Table10[[#This Row],[fluctuation]],
NA())</f>
        <v>#N/A</v>
      </c>
    </row>
    <row r="185" spans="22:33" x14ac:dyDescent="0.25">
      <c r="Z185" s="1"/>
      <c r="AA185" s="1"/>
    </row>
    <row r="186" spans="22:33" x14ac:dyDescent="0.25">
      <c r="Z186" s="1"/>
      <c r="AA186" s="1"/>
    </row>
    <row r="187" spans="22:33" x14ac:dyDescent="0.25">
      <c r="Z187" s="1"/>
      <c r="AA187" s="1"/>
    </row>
    <row r="188" spans="22:33" x14ac:dyDescent="0.25">
      <c r="Z188" s="1"/>
      <c r="AA188" s="1"/>
    </row>
    <row r="189" spans="22:33" x14ac:dyDescent="0.25">
      <c r="Z189" s="1"/>
      <c r="AA189" s="1"/>
    </row>
    <row r="190" spans="22:33" x14ac:dyDescent="0.25">
      <c r="Z190" s="1"/>
      <c r="AA190" s="1"/>
    </row>
    <row r="191" spans="22:33" x14ac:dyDescent="0.25">
      <c r="Z191" s="1"/>
      <c r="AA191" s="1"/>
    </row>
    <row r="192" spans="22:33" x14ac:dyDescent="0.25">
      <c r="Z192" s="1"/>
      <c r="AA192" s="1"/>
    </row>
    <row r="193" spans="26:27" x14ac:dyDescent="0.25">
      <c r="Z193" s="1"/>
      <c r="AA193" s="1"/>
    </row>
    <row r="194" spans="26:27" x14ac:dyDescent="0.25">
      <c r="Z194" s="1"/>
      <c r="AA194" s="1"/>
    </row>
    <row r="195" spans="26:27" x14ac:dyDescent="0.25">
      <c r="Z195" s="1"/>
      <c r="AA195" s="1"/>
    </row>
    <row r="196" spans="26:27" x14ac:dyDescent="0.25">
      <c r="Z196" s="1"/>
      <c r="AA196" s="1"/>
    </row>
    <row r="197" spans="26:27" x14ac:dyDescent="0.25">
      <c r="Z197" s="1"/>
      <c r="AA197" s="1"/>
    </row>
    <row r="198" spans="26:27" x14ac:dyDescent="0.25">
      <c r="Z198" s="1"/>
      <c r="AA198" s="1"/>
    </row>
    <row r="199" spans="26:27" x14ac:dyDescent="0.25">
      <c r="Z199" s="1"/>
      <c r="AA199" s="1"/>
    </row>
    <row r="200" spans="26:27" x14ac:dyDescent="0.25">
      <c r="Z200" s="1"/>
      <c r="AA200" s="1"/>
    </row>
    <row r="201" spans="26:27" x14ac:dyDescent="0.25">
      <c r="Z201" s="1"/>
      <c r="AA201" s="1"/>
    </row>
    <row r="202" spans="26:27" x14ac:dyDescent="0.25">
      <c r="Z202" s="1"/>
      <c r="AA202" s="1"/>
    </row>
    <row r="203" spans="26:27" x14ac:dyDescent="0.25">
      <c r="Z203" s="1"/>
      <c r="AA203" s="1"/>
    </row>
    <row r="204" spans="26:27" x14ac:dyDescent="0.25">
      <c r="Z204" s="1"/>
      <c r="AA204" s="1"/>
    </row>
    <row r="205" spans="26:27" x14ac:dyDescent="0.25">
      <c r="Z205" s="1"/>
      <c r="AA205" s="1"/>
    </row>
    <row r="206" spans="26:27" x14ac:dyDescent="0.25">
      <c r="Z206" s="1"/>
      <c r="AA206" s="1"/>
    </row>
    <row r="207" spans="26:27" x14ac:dyDescent="0.25">
      <c r="Z207" s="1"/>
      <c r="AA207" s="1"/>
    </row>
    <row r="208" spans="26:27" x14ac:dyDescent="0.25">
      <c r="Z208" s="1"/>
      <c r="AA208" s="1"/>
    </row>
    <row r="209" spans="26:27" x14ac:dyDescent="0.25">
      <c r="Z209" s="1"/>
      <c r="AA209" s="1"/>
    </row>
    <row r="210" spans="26:27" x14ac:dyDescent="0.25">
      <c r="Z210" s="1"/>
      <c r="AA210" s="1"/>
    </row>
    <row r="211" spans="26:27" x14ac:dyDescent="0.25">
      <c r="Z211" s="1"/>
      <c r="AA211" s="1"/>
    </row>
    <row r="212" spans="26:27" x14ac:dyDescent="0.25">
      <c r="Z212" s="1"/>
      <c r="AA212" s="1"/>
    </row>
    <row r="213" spans="26:27" x14ac:dyDescent="0.25">
      <c r="Z213" s="1"/>
      <c r="AA213" s="1"/>
    </row>
    <row r="214" spans="26:27" x14ac:dyDescent="0.25">
      <c r="Z214" s="1"/>
      <c r="AA214" s="1"/>
    </row>
    <row r="215" spans="26:27" x14ac:dyDescent="0.25">
      <c r="Z215" s="1"/>
      <c r="AA215" s="1"/>
    </row>
    <row r="216" spans="26:27" x14ac:dyDescent="0.25">
      <c r="Z216" s="1"/>
      <c r="AA216" s="1"/>
    </row>
    <row r="217" spans="26:27" x14ac:dyDescent="0.25">
      <c r="Z217" s="1"/>
      <c r="AA217" s="1"/>
    </row>
    <row r="218" spans="26:27" x14ac:dyDescent="0.25">
      <c r="Z218" s="1"/>
      <c r="AA218" s="1"/>
    </row>
    <row r="219" spans="26:27" x14ac:dyDescent="0.25">
      <c r="Z219" s="1"/>
      <c r="AA219" s="1"/>
    </row>
    <row r="220" spans="26:27" x14ac:dyDescent="0.25">
      <c r="Z220" s="1"/>
      <c r="AA220" s="1"/>
    </row>
  </sheetData>
  <sheetProtection sheet="1" selectLockedCells="1" selectUnlockedCells="1"/>
  <phoneticPr fontId="2" type="noConversion"/>
  <conditionalFormatting sqref="AI1:AL1 AN1:AQ1 AS1:AV1">
    <cfRule type="expression" dxfId="1" priority="1">
      <formula>NOT($A$6)</formula>
    </cfRule>
  </conditionalFormatting>
  <conditionalFormatting sqref="AI2:AL9 AN2:AQ9 AS2:AV9">
    <cfRule type="expression" dxfId="0" priority="26">
      <formula>NOT($AI2)</formula>
    </cfRule>
  </conditionalFormatting>
  <pageMargins left="0.7" right="0.7" top="0.75" bottom="0.75" header="0.3" footer="0.3"/>
  <pageSetup orientation="portrait" horizontalDpi="1200" verticalDpi="1200" r:id="rId1"/>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94DA9-07CD-45CD-9D03-6555981A514A}">
  <sheetPr codeName="Sheet7"/>
  <dimension ref="A1:Q77"/>
  <sheetViews>
    <sheetView showGridLines="0" zoomScale="85" zoomScaleNormal="85" workbookViewId="0">
      <selection activeCell="B2" sqref="B2"/>
    </sheetView>
  </sheetViews>
  <sheetFormatPr defaultRowHeight="15" x14ac:dyDescent="0.25"/>
  <cols>
    <col min="1" max="1" width="2.625" style="1" customWidth="1"/>
    <col min="2" max="3" width="8.625" style="1" customWidth="1"/>
    <col min="4" max="4" width="8" style="1" bestFit="1" customWidth="1"/>
    <col min="5" max="5" width="8.25" style="1" bestFit="1" customWidth="1"/>
    <col min="6" max="6" width="6.875" style="1" bestFit="1" customWidth="1"/>
    <col min="7" max="7" width="5.625" style="1" bestFit="1" customWidth="1"/>
    <col min="8" max="8" width="6.625" style="1" bestFit="1" customWidth="1"/>
    <col min="9" max="9" width="5.625" style="1" bestFit="1" customWidth="1"/>
    <col min="10" max="10" width="2.625" style="1" customWidth="1"/>
    <col min="11" max="11" width="8.75" style="1" customWidth="1"/>
    <col min="12" max="12" width="5.375" style="1" bestFit="1" customWidth="1"/>
    <col min="13" max="13" width="8.625" style="1" bestFit="1" customWidth="1"/>
    <col min="14" max="14" width="16.5" style="1" bestFit="1" customWidth="1"/>
    <col min="15" max="15" width="4.25" style="1" bestFit="1" customWidth="1"/>
    <col min="16" max="16" width="13.5" style="1" bestFit="1" customWidth="1"/>
    <col min="17" max="16384" width="9" style="1"/>
  </cols>
  <sheetData>
    <row r="1" spans="2:17" x14ac:dyDescent="0.25">
      <c r="B1" s="159" t="s">
        <v>57</v>
      </c>
      <c r="C1" s="160" t="s">
        <v>58</v>
      </c>
      <c r="G1" s="159" t="s">
        <v>59</v>
      </c>
      <c r="H1" s="161" t="s">
        <v>60</v>
      </c>
      <c r="I1" s="160" t="s">
        <v>61</v>
      </c>
    </row>
    <row r="2" spans="2:17" x14ac:dyDescent="0.25">
      <c r="B2" s="162">
        <v>43754</v>
      </c>
      <c r="C2" s="179">
        <v>43767</v>
      </c>
      <c r="F2" s="163"/>
      <c r="G2" s="163">
        <f>IF(MONTH(C2+14-MOD(C2-MOD(B2, 14), 14)-42)=MONTH(C2),
C2+14-MOD(C2-MOD(B2, 14), 14)-42,
IF(MONTH(C2+14-MOD(C2-MOD(B2, 14), 14)-28)=MONTH(C2),
C2+14-MOD(C2-MOD(B2, 14), 14)-28,
IF(MONTH(C2+14-MOD(C2-MOD(B2, 14), 14)-14)=MONTH(C2),
C2+14-MOD(C2-MOD(B2, 14), 14)-14,
C2+14-MOD(C2-MOD(B2, 14), 14))))</f>
        <v>43740</v>
      </c>
      <c r="H2" s="163">
        <f>G2+14</f>
        <v>43754</v>
      </c>
      <c r="I2" s="163">
        <f>IF(MONTH(G2+28)=MONTH(G2),
G2+28,
"")</f>
        <v>43768</v>
      </c>
    </row>
    <row r="3" spans="2:17" ht="15.75" thickBot="1" x14ac:dyDescent="0.3">
      <c r="K3" s="164" t="s">
        <v>62</v>
      </c>
      <c r="P3" s="1" t="s">
        <v>63</v>
      </c>
      <c r="Q3" s="1" t="s">
        <v>64</v>
      </c>
    </row>
    <row r="4" spans="2:17" ht="16.5" thickTop="1" thickBot="1" x14ac:dyDescent="0.3">
      <c r="B4" s="3" t="s">
        <v>65</v>
      </c>
      <c r="C4" s="3" t="s">
        <v>46</v>
      </c>
      <c r="D4" s="3" t="s">
        <v>66</v>
      </c>
      <c r="E4" s="165" t="s">
        <v>62</v>
      </c>
      <c r="F4" s="3" t="s">
        <v>67</v>
      </c>
      <c r="G4" s="165" t="s">
        <v>59</v>
      </c>
      <c r="H4" s="165" t="s">
        <v>60</v>
      </c>
      <c r="I4" s="165" t="s">
        <v>61</v>
      </c>
      <c r="K4" s="166"/>
      <c r="L4" s="167"/>
      <c r="M4" s="167"/>
      <c r="N4" s="168" t="s">
        <v>68</v>
      </c>
      <c r="O4" s="169"/>
      <c r="P4" s="1" t="s">
        <v>69</v>
      </c>
      <c r="Q4" s="1" t="s">
        <v>70</v>
      </c>
    </row>
    <row r="5" spans="2:17" ht="15.75" thickTop="1" x14ac:dyDescent="0.25">
      <c r="B5" s="163">
        <f>B2</f>
        <v>43754</v>
      </c>
      <c r="C5" s="1">
        <f>MOD(B5, 14)</f>
        <v>4</v>
      </c>
      <c r="D5" s="1">
        <f t="shared" ref="D5:D65" si="0">MOD(B5-MOD($B$2, 14), 14)</f>
        <v>0</v>
      </c>
      <c r="E5" s="1">
        <f>14-D5</f>
        <v>14</v>
      </c>
      <c r="F5" s="163">
        <f>B5+E5</f>
        <v>43768</v>
      </c>
      <c r="G5"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5" s="163">
        <f>Table21[[#This Row],[first]]+14</f>
        <v>43754</v>
      </c>
      <c r="I5" s="163">
        <f>IF(MONTH(Table21[[#This Row],[first]]+28)=MONTH(Table21[[#This Row],[first]]),
Table21[[#This Row],[first]]+28,
"")</f>
        <v>43768</v>
      </c>
      <c r="K5" s="171"/>
      <c r="L5" s="172"/>
      <c r="M5" s="173" t="s">
        <v>71</v>
      </c>
      <c r="N5" s="172" t="s">
        <v>68</v>
      </c>
      <c r="O5" s="174"/>
      <c r="P5" s="1" t="s">
        <v>72</v>
      </c>
      <c r="Q5" s="1" t="s">
        <v>73</v>
      </c>
    </row>
    <row r="6" spans="2:17" x14ac:dyDescent="0.25">
      <c r="B6" s="163">
        <f t="shared" ref="B6:B65" si="1">B5+1</f>
        <v>43755</v>
      </c>
      <c r="C6" s="1">
        <f t="shared" ref="C6:C65" si="2">MOD(B6, 14)</f>
        <v>5</v>
      </c>
      <c r="D6" s="1">
        <f t="shared" si="0"/>
        <v>1</v>
      </c>
      <c r="E6" s="1">
        <f t="shared" ref="E6:E65" si="3">14-D6</f>
        <v>13</v>
      </c>
      <c r="F6" s="163">
        <f t="shared" ref="F6:F65" si="4">B6+E6</f>
        <v>43768</v>
      </c>
      <c r="G6"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6" s="163">
        <f>Table21[[#This Row],[first]]+14</f>
        <v>43754</v>
      </c>
      <c r="I6" s="163">
        <f>IF(MONTH(Table21[[#This Row],[first]]+28)=MONTH(Table21[[#This Row],[first]]),
Table21[[#This Row],[first]]+28,
"")</f>
        <v>43768</v>
      </c>
      <c r="K6" s="171"/>
      <c r="L6" s="173" t="s">
        <v>74</v>
      </c>
      <c r="M6" s="172" t="s">
        <v>71</v>
      </c>
      <c r="N6" s="172" t="s">
        <v>68</v>
      </c>
      <c r="O6" s="175" t="s">
        <v>75</v>
      </c>
      <c r="P6" s="1" t="s">
        <v>69</v>
      </c>
      <c r="Q6" s="1" t="s">
        <v>76</v>
      </c>
    </row>
    <row r="7" spans="2:17" x14ac:dyDescent="0.25">
      <c r="B7" s="163">
        <f t="shared" si="1"/>
        <v>43756</v>
      </c>
      <c r="C7" s="1">
        <f t="shared" si="2"/>
        <v>6</v>
      </c>
      <c r="D7" s="1">
        <f t="shared" si="0"/>
        <v>2</v>
      </c>
      <c r="E7" s="1">
        <f t="shared" si="3"/>
        <v>12</v>
      </c>
      <c r="F7" s="163">
        <f t="shared" si="4"/>
        <v>43768</v>
      </c>
      <c r="G7"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7" s="163">
        <f>Table21[[#This Row],[first]]+14</f>
        <v>43754</v>
      </c>
      <c r="I7" s="163">
        <f>IF(MONTH(Table21[[#This Row],[first]]+28)=MONTH(Table21[[#This Row],[first]]),
Table21[[#This Row],[first]]+28,
"")</f>
        <v>43768</v>
      </c>
      <c r="K7" s="176" t="s">
        <v>77</v>
      </c>
      <c r="L7" s="177" t="s">
        <v>74</v>
      </c>
      <c r="M7" s="177" t="s">
        <v>71</v>
      </c>
      <c r="N7" s="177" t="s">
        <v>68</v>
      </c>
      <c r="O7" s="178" t="s">
        <v>75</v>
      </c>
      <c r="P7" s="1" t="s">
        <v>78</v>
      </c>
      <c r="Q7" s="1" t="s">
        <v>79</v>
      </c>
    </row>
    <row r="8" spans="2:17" x14ac:dyDescent="0.25">
      <c r="B8" s="163">
        <f t="shared" si="1"/>
        <v>43757</v>
      </c>
      <c r="C8" s="1">
        <f t="shared" si="2"/>
        <v>7</v>
      </c>
      <c r="D8" s="1">
        <f t="shared" si="0"/>
        <v>3</v>
      </c>
      <c r="E8" s="1">
        <f t="shared" si="3"/>
        <v>11</v>
      </c>
      <c r="F8" s="163">
        <f t="shared" si="4"/>
        <v>43768</v>
      </c>
      <c r="G8"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8" s="163">
        <f>Table21[[#This Row],[first]]+14</f>
        <v>43754</v>
      </c>
      <c r="I8" s="163">
        <f>IF(MONTH(Table21[[#This Row],[first]]+28)=MONTH(Table21[[#This Row],[first]]),
Table21[[#This Row],[first]]+28,
"")</f>
        <v>43768</v>
      </c>
    </row>
    <row r="9" spans="2:17" x14ac:dyDescent="0.25">
      <c r="B9" s="163">
        <f t="shared" si="1"/>
        <v>43758</v>
      </c>
      <c r="C9" s="1">
        <f t="shared" si="2"/>
        <v>8</v>
      </c>
      <c r="D9" s="1">
        <f t="shared" si="0"/>
        <v>4</v>
      </c>
      <c r="E9" s="1">
        <f t="shared" si="3"/>
        <v>10</v>
      </c>
      <c r="F9" s="163">
        <f t="shared" si="4"/>
        <v>43768</v>
      </c>
      <c r="G9"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9" s="163">
        <f>Table21[[#This Row],[first]]+14</f>
        <v>43754</v>
      </c>
      <c r="I9" s="163">
        <f>IF(MONTH(Table21[[#This Row],[first]]+28)=MONTH(Table21[[#This Row],[first]]),
Table21[[#This Row],[first]]+28,
"")</f>
        <v>43768</v>
      </c>
      <c r="K9" s="164" t="s">
        <v>59</v>
      </c>
    </row>
    <row r="10" spans="2:17" x14ac:dyDescent="0.25">
      <c r="B10" s="163">
        <f t="shared" si="1"/>
        <v>43759</v>
      </c>
      <c r="C10" s="1">
        <f t="shared" si="2"/>
        <v>9</v>
      </c>
      <c r="D10" s="1">
        <f t="shared" si="0"/>
        <v>5</v>
      </c>
      <c r="E10" s="1">
        <f t="shared" si="3"/>
        <v>9</v>
      </c>
      <c r="F10" s="163">
        <f t="shared" si="4"/>
        <v>43768</v>
      </c>
      <c r="G10"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0" s="163">
        <f>Table21[[#This Row],[first]]+14</f>
        <v>43754</v>
      </c>
      <c r="I10" s="163">
        <f>IF(MONTH(Table21[[#This Row],[first]]+28)=MONTH(Table21[[#This Row],[first]]),
Table21[[#This Row],[first]]+28,
"")</f>
        <v>43768</v>
      </c>
      <c r="K10" s="1" t="s">
        <v>80</v>
      </c>
      <c r="Q10" s="1" t="s">
        <v>81</v>
      </c>
    </row>
    <row r="11" spans="2:17" x14ac:dyDescent="0.25">
      <c r="B11" s="163">
        <f t="shared" si="1"/>
        <v>43760</v>
      </c>
      <c r="C11" s="1">
        <f t="shared" si="2"/>
        <v>10</v>
      </c>
      <c r="D11" s="1">
        <f t="shared" si="0"/>
        <v>6</v>
      </c>
      <c r="E11" s="1">
        <f t="shared" si="3"/>
        <v>8</v>
      </c>
      <c r="F11" s="163">
        <f t="shared" si="4"/>
        <v>43768</v>
      </c>
      <c r="G11"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1" s="163">
        <f>Table21[[#This Row],[first]]+14</f>
        <v>43754</v>
      </c>
      <c r="I11" s="163">
        <f>IF(MONTH(Table21[[#This Row],[first]]+28)=MONTH(Table21[[#This Row],[first]]),
Table21[[#This Row],[first]]+28,
"")</f>
        <v>43768</v>
      </c>
      <c r="K11" s="1" t="s">
        <v>82</v>
      </c>
      <c r="Q11" s="1" t="s">
        <v>83</v>
      </c>
    </row>
    <row r="12" spans="2:17" x14ac:dyDescent="0.25">
      <c r="B12" s="163">
        <f t="shared" si="1"/>
        <v>43761</v>
      </c>
      <c r="C12" s="1">
        <f t="shared" si="2"/>
        <v>11</v>
      </c>
      <c r="D12" s="1">
        <f t="shared" si="0"/>
        <v>7</v>
      </c>
      <c r="E12" s="1">
        <f t="shared" si="3"/>
        <v>7</v>
      </c>
      <c r="F12" s="163">
        <f t="shared" si="4"/>
        <v>43768</v>
      </c>
      <c r="G12"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2" s="163">
        <f>Table21[[#This Row],[first]]+14</f>
        <v>43754</v>
      </c>
      <c r="I12" s="163">
        <f>IF(MONTH(Table21[[#This Row],[first]]+28)=MONTH(Table21[[#This Row],[first]]),
Table21[[#This Row],[first]]+28,
"")</f>
        <v>43768</v>
      </c>
      <c r="K12" s="1" t="s">
        <v>84</v>
      </c>
      <c r="Q12" s="1" t="s">
        <v>85</v>
      </c>
    </row>
    <row r="13" spans="2:17" x14ac:dyDescent="0.25">
      <c r="B13" s="163">
        <f t="shared" si="1"/>
        <v>43762</v>
      </c>
      <c r="C13" s="1">
        <f t="shared" si="2"/>
        <v>12</v>
      </c>
      <c r="D13" s="1">
        <f t="shared" si="0"/>
        <v>8</v>
      </c>
      <c r="E13" s="1">
        <f t="shared" si="3"/>
        <v>6</v>
      </c>
      <c r="F13" s="163">
        <f t="shared" si="4"/>
        <v>43768</v>
      </c>
      <c r="G13"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3" s="163">
        <f>Table21[[#This Row],[first]]+14</f>
        <v>43754</v>
      </c>
      <c r="I13" s="163">
        <f>IF(MONTH(Table21[[#This Row],[first]]+28)=MONTH(Table21[[#This Row],[first]]),
Table21[[#This Row],[first]]+28,
"")</f>
        <v>43768</v>
      </c>
      <c r="K13" s="1" t="s">
        <v>86</v>
      </c>
      <c r="Q13" s="1" t="s">
        <v>83</v>
      </c>
    </row>
    <row r="14" spans="2:17" x14ac:dyDescent="0.25">
      <c r="B14" s="163">
        <f t="shared" si="1"/>
        <v>43763</v>
      </c>
      <c r="C14" s="1">
        <f t="shared" si="2"/>
        <v>13</v>
      </c>
      <c r="D14" s="1">
        <f t="shared" si="0"/>
        <v>9</v>
      </c>
      <c r="E14" s="1">
        <f t="shared" si="3"/>
        <v>5</v>
      </c>
      <c r="F14" s="163">
        <f t="shared" si="4"/>
        <v>43768</v>
      </c>
      <c r="G14"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4" s="163">
        <f>Table21[[#This Row],[first]]+14</f>
        <v>43754</v>
      </c>
      <c r="I14" s="163">
        <f>IF(MONTH(Table21[[#This Row],[first]]+28)=MONTH(Table21[[#This Row],[first]]),
Table21[[#This Row],[first]]+28,
"")</f>
        <v>43768</v>
      </c>
      <c r="K14" s="1" t="s">
        <v>87</v>
      </c>
      <c r="Q14" s="1" t="s">
        <v>88</v>
      </c>
    </row>
    <row r="15" spans="2:17" x14ac:dyDescent="0.25">
      <c r="B15" s="163">
        <f t="shared" si="1"/>
        <v>43764</v>
      </c>
      <c r="C15" s="1">
        <f t="shared" si="2"/>
        <v>0</v>
      </c>
      <c r="D15" s="1">
        <f t="shared" si="0"/>
        <v>10</v>
      </c>
      <c r="E15" s="1">
        <f t="shared" si="3"/>
        <v>4</v>
      </c>
      <c r="F15" s="163">
        <f t="shared" si="4"/>
        <v>43768</v>
      </c>
      <c r="G15"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5" s="163">
        <f>Table21[[#This Row],[first]]+14</f>
        <v>43754</v>
      </c>
      <c r="I15" s="163">
        <f>IF(MONTH(Table21[[#This Row],[first]]+28)=MONTH(Table21[[#This Row],[first]]),
Table21[[#This Row],[first]]+28,
"")</f>
        <v>43768</v>
      </c>
      <c r="K15" s="1" t="s">
        <v>89</v>
      </c>
      <c r="Q15" s="1" t="s">
        <v>83</v>
      </c>
    </row>
    <row r="16" spans="2:17" x14ac:dyDescent="0.25">
      <c r="B16" s="163">
        <f t="shared" si="1"/>
        <v>43765</v>
      </c>
      <c r="C16" s="1">
        <f t="shared" si="2"/>
        <v>1</v>
      </c>
      <c r="D16" s="1">
        <f t="shared" si="0"/>
        <v>11</v>
      </c>
      <c r="E16" s="1">
        <f t="shared" si="3"/>
        <v>3</v>
      </c>
      <c r="F16" s="163">
        <f t="shared" si="4"/>
        <v>43768</v>
      </c>
      <c r="G16"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6" s="163">
        <f>Table21[[#This Row],[first]]+14</f>
        <v>43754</v>
      </c>
      <c r="I16" s="163">
        <f>IF(MONTH(Table21[[#This Row],[first]]+28)=MONTH(Table21[[#This Row],[first]]),
Table21[[#This Row],[first]]+28,
"")</f>
        <v>43768</v>
      </c>
      <c r="K16" s="1" t="s">
        <v>90</v>
      </c>
      <c r="Q16" s="1" t="s">
        <v>91</v>
      </c>
    </row>
    <row r="17" spans="1:17" x14ac:dyDescent="0.25">
      <c r="B17" s="163">
        <f t="shared" si="1"/>
        <v>43766</v>
      </c>
      <c r="C17" s="1">
        <f t="shared" si="2"/>
        <v>2</v>
      </c>
      <c r="D17" s="1">
        <f t="shared" si="0"/>
        <v>12</v>
      </c>
      <c r="E17" s="1">
        <f t="shared" si="3"/>
        <v>2</v>
      </c>
      <c r="F17" s="163">
        <f t="shared" si="4"/>
        <v>43768</v>
      </c>
      <c r="G17"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7" s="163">
        <f>Table21[[#This Row],[first]]+14</f>
        <v>43754</v>
      </c>
      <c r="I17" s="163">
        <f>IF(MONTH(Table21[[#This Row],[first]]+28)=MONTH(Table21[[#This Row],[first]]),
Table21[[#This Row],[first]]+28,
"")</f>
        <v>43768</v>
      </c>
    </row>
    <row r="18" spans="1:17" x14ac:dyDescent="0.25">
      <c r="B18" s="163">
        <f t="shared" si="1"/>
        <v>43767</v>
      </c>
      <c r="C18" s="1">
        <f t="shared" si="2"/>
        <v>3</v>
      </c>
      <c r="D18" s="1">
        <f t="shared" si="0"/>
        <v>13</v>
      </c>
      <c r="E18" s="1">
        <f t="shared" si="3"/>
        <v>1</v>
      </c>
      <c r="F18" s="163">
        <f t="shared" si="4"/>
        <v>43768</v>
      </c>
      <c r="G18"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8" s="163">
        <f>Table21[[#This Row],[first]]+14</f>
        <v>43754</v>
      </c>
      <c r="I18" s="163">
        <f>IF(MONTH(Table21[[#This Row],[first]]+28)=MONTH(Table21[[#This Row],[first]]),
Table21[[#This Row],[first]]+28,
"")</f>
        <v>43768</v>
      </c>
      <c r="K18" s="164" t="s">
        <v>60</v>
      </c>
    </row>
    <row r="19" spans="1:17" x14ac:dyDescent="0.25">
      <c r="B19" s="163">
        <f t="shared" si="1"/>
        <v>43768</v>
      </c>
      <c r="C19" s="1">
        <f t="shared" si="2"/>
        <v>4</v>
      </c>
      <c r="D19" s="1">
        <f t="shared" si="0"/>
        <v>0</v>
      </c>
      <c r="E19" s="1">
        <f t="shared" si="3"/>
        <v>14</v>
      </c>
      <c r="F19" s="163">
        <f t="shared" si="4"/>
        <v>43782</v>
      </c>
      <c r="G19"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19" s="163">
        <f>Table21[[#This Row],[first]]+14</f>
        <v>43754</v>
      </c>
      <c r="I19" s="163">
        <f>IF(MONTH(Table21[[#This Row],[first]]+28)=MONTH(Table21[[#This Row],[first]]),
Table21[[#This Row],[first]]+28,
"")</f>
        <v>43768</v>
      </c>
      <c r="K19" s="1" t="s">
        <v>92</v>
      </c>
      <c r="Q19" s="1" t="s">
        <v>93</v>
      </c>
    </row>
    <row r="20" spans="1:17" x14ac:dyDescent="0.25">
      <c r="B20" s="163">
        <f t="shared" si="1"/>
        <v>43769</v>
      </c>
      <c r="C20" s="1">
        <f t="shared" si="2"/>
        <v>5</v>
      </c>
      <c r="D20" s="1">
        <f t="shared" si="0"/>
        <v>1</v>
      </c>
      <c r="E20" s="1">
        <f t="shared" si="3"/>
        <v>13</v>
      </c>
      <c r="F20" s="163">
        <f t="shared" si="4"/>
        <v>43782</v>
      </c>
      <c r="G20"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43740</v>
      </c>
      <c r="H20" s="163">
        <f>Table21[[#This Row],[first]]+14</f>
        <v>43754</v>
      </c>
      <c r="I20" s="163">
        <f>IF(MONTH(Table21[[#This Row],[first]]+28)=MONTH(Table21[[#This Row],[first]]),
Table21[[#This Row],[first]]+28,
"")</f>
        <v>43768</v>
      </c>
    </row>
    <row r="21" spans="1:17" x14ac:dyDescent="0.25">
      <c r="B21" s="163">
        <f t="shared" si="1"/>
        <v>43770</v>
      </c>
      <c r="C21" s="1">
        <f t="shared" si="2"/>
        <v>6</v>
      </c>
      <c r="D21" s="1">
        <f t="shared" si="0"/>
        <v>2</v>
      </c>
      <c r="E21" s="1">
        <f t="shared" si="3"/>
        <v>12</v>
      </c>
      <c r="F21" s="163">
        <f t="shared" si="4"/>
        <v>43782</v>
      </c>
      <c r="G21"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43782</v>
      </c>
      <c r="H21" s="163">
        <f>Table21[[#This Row],[first]]+14</f>
        <v>43796</v>
      </c>
      <c r="I21" s="163" t="str">
        <f>IF(MONTH(Table21[[#This Row],[first]]+28)=MONTH(Table21[[#This Row],[first]]),
Table21[[#This Row],[first]]+28,
"")</f>
        <v/>
      </c>
      <c r="K21" s="164" t="s">
        <v>61</v>
      </c>
    </row>
    <row r="22" spans="1:17" x14ac:dyDescent="0.25">
      <c r="B22" s="163">
        <f t="shared" si="1"/>
        <v>43771</v>
      </c>
      <c r="C22" s="1">
        <f t="shared" si="2"/>
        <v>7</v>
      </c>
      <c r="D22" s="1">
        <f t="shared" si="0"/>
        <v>3</v>
      </c>
      <c r="E22" s="1">
        <f t="shared" si="3"/>
        <v>11</v>
      </c>
      <c r="F22" s="163">
        <f t="shared" si="4"/>
        <v>43782</v>
      </c>
      <c r="G22"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43782</v>
      </c>
      <c r="H22" s="163">
        <f>Table21[[#This Row],[first]]+14</f>
        <v>43796</v>
      </c>
      <c r="I22" s="163" t="str">
        <f>IF(MONTH(Table21[[#This Row],[first]]+28)=MONTH(Table21[[#This Row],[first]]),
Table21[[#This Row],[first]]+28,
"")</f>
        <v/>
      </c>
      <c r="K22" s="1" t="s">
        <v>94</v>
      </c>
      <c r="Q22" s="1" t="s">
        <v>95</v>
      </c>
    </row>
    <row r="23" spans="1:17" x14ac:dyDescent="0.25">
      <c r="B23" s="163">
        <f t="shared" si="1"/>
        <v>43772</v>
      </c>
      <c r="C23" s="1">
        <f t="shared" si="2"/>
        <v>8</v>
      </c>
      <c r="D23" s="1">
        <f t="shared" si="0"/>
        <v>4</v>
      </c>
      <c r="E23" s="1">
        <f t="shared" si="3"/>
        <v>10</v>
      </c>
      <c r="F23" s="163">
        <f t="shared" si="4"/>
        <v>43782</v>
      </c>
      <c r="G23"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43782</v>
      </c>
      <c r="H23" s="163">
        <f>Table21[[#This Row],[first]]+14</f>
        <v>43796</v>
      </c>
      <c r="I23" s="163" t="str">
        <f>IF(MONTH(Table21[[#This Row],[first]]+28)=MONTH(Table21[[#This Row],[first]]),
Table21[[#This Row],[first]]+28,
"")</f>
        <v/>
      </c>
      <c r="K23" s="1" t="s">
        <v>96</v>
      </c>
      <c r="Q23" s="1" t="s">
        <v>83</v>
      </c>
    </row>
    <row r="24" spans="1:17" x14ac:dyDescent="0.25">
      <c r="B24" s="163">
        <f t="shared" si="1"/>
        <v>43773</v>
      </c>
      <c r="C24" s="1">
        <f t="shared" si="2"/>
        <v>9</v>
      </c>
      <c r="D24" s="1">
        <f t="shared" si="0"/>
        <v>5</v>
      </c>
      <c r="E24" s="1">
        <f t="shared" si="3"/>
        <v>9</v>
      </c>
      <c r="F24" s="163">
        <f t="shared" si="4"/>
        <v>43782</v>
      </c>
      <c r="G24"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43782</v>
      </c>
      <c r="H24" s="163">
        <f>Table21[[#This Row],[first]]+14</f>
        <v>43796</v>
      </c>
      <c r="I24" s="163" t="str">
        <f>IF(MONTH(Table21[[#This Row],[first]]+28)=MONTH(Table21[[#This Row],[first]]),
Table21[[#This Row],[first]]+28,
"")</f>
        <v/>
      </c>
      <c r="K24" s="1" t="s">
        <v>97</v>
      </c>
      <c r="Q24" s="1" t="s">
        <v>98</v>
      </c>
    </row>
    <row r="25" spans="1:17" x14ac:dyDescent="0.25">
      <c r="B25" s="163">
        <f t="shared" si="1"/>
        <v>43774</v>
      </c>
      <c r="C25" s="1">
        <f t="shared" si="2"/>
        <v>10</v>
      </c>
      <c r="D25" s="1">
        <f t="shared" si="0"/>
        <v>6</v>
      </c>
      <c r="E25" s="1">
        <f t="shared" si="3"/>
        <v>8</v>
      </c>
      <c r="F25" s="163">
        <f t="shared" si="4"/>
        <v>43782</v>
      </c>
      <c r="G25" s="170">
        <f>IF(MONTH(Table21[[#This Row],[next on]]-42)=MONTH(Table21[[#This Row],[if today =]]),
Table21[[#This Row],[next on]]-42,
IF(MONTH(Table21[[#This Row],[next on]]-28)=MONTH(Table21[[#This Row],[if today =]]),
Table21[[#This Row],[next on]]-28,
IF(MONTH(Table21[[#This Row],[next on]]-14)=MONTH(Table21[[#This Row],[if today =]]),
Table21[[#This Row],[next on]]-14,
Table21[[#This Row],[next on]])))</f>
        <v>43782</v>
      </c>
      <c r="H25" s="163">
        <f>Table21[[#This Row],[first]]+14</f>
        <v>43796</v>
      </c>
      <c r="I25" s="163" t="str">
        <f>IF(MONTH(Table21[[#This Row],[first]]+28)=MONTH(Table21[[#This Row],[first]]),
Table21[[#This Row],[first]]+28,
"")</f>
        <v/>
      </c>
    </row>
    <row r="26" spans="1:17" ht="15.75" x14ac:dyDescent="0.25">
      <c r="A26"/>
      <c r="B26"/>
      <c r="C26"/>
      <c r="D26"/>
      <c r="E26"/>
      <c r="F26"/>
      <c r="G26"/>
      <c r="H26"/>
      <c r="I26"/>
      <c r="J26"/>
    </row>
    <row r="27" spans="1:17" ht="15.75" x14ac:dyDescent="0.25">
      <c r="A27"/>
      <c r="B27"/>
      <c r="C27"/>
      <c r="D27"/>
      <c r="E27"/>
      <c r="F27"/>
      <c r="G27"/>
      <c r="H27"/>
      <c r="I27"/>
      <c r="J27"/>
    </row>
    <row r="28" spans="1:17" ht="15.75" x14ac:dyDescent="0.25">
      <c r="A28"/>
      <c r="B28"/>
      <c r="C28"/>
      <c r="D28"/>
      <c r="E28"/>
      <c r="F28"/>
      <c r="G28"/>
      <c r="H28"/>
      <c r="I28"/>
      <c r="J28"/>
    </row>
    <row r="29" spans="1:17" ht="15.75" x14ac:dyDescent="0.25">
      <c r="A29"/>
      <c r="B29"/>
      <c r="C29"/>
      <c r="D29"/>
      <c r="E29"/>
      <c r="F29"/>
      <c r="G29"/>
      <c r="H29"/>
      <c r="I29"/>
      <c r="J29"/>
    </row>
    <row r="30" spans="1:17" ht="15.75" x14ac:dyDescent="0.25">
      <c r="A30"/>
      <c r="B30"/>
      <c r="C30"/>
      <c r="D30"/>
      <c r="E30"/>
      <c r="F30"/>
      <c r="G30"/>
      <c r="H30"/>
      <c r="I30"/>
      <c r="J30"/>
    </row>
    <row r="31" spans="1:17" ht="15.75" x14ac:dyDescent="0.25">
      <c r="A31"/>
      <c r="B31"/>
      <c r="C31"/>
      <c r="D31"/>
      <c r="E31"/>
      <c r="F31"/>
      <c r="G31"/>
      <c r="H31"/>
      <c r="I31"/>
      <c r="J31"/>
    </row>
    <row r="32" spans="1:17" ht="15.75" x14ac:dyDescent="0.25">
      <c r="A32"/>
      <c r="B32"/>
      <c r="C32"/>
      <c r="D32"/>
      <c r="E32"/>
      <c r="F32"/>
      <c r="G32"/>
      <c r="H32"/>
      <c r="I32"/>
      <c r="J32"/>
    </row>
    <row r="33" spans="1:10" ht="15.75" x14ac:dyDescent="0.25">
      <c r="A33"/>
      <c r="B33"/>
      <c r="C33"/>
      <c r="D33"/>
      <c r="E33"/>
      <c r="F33"/>
      <c r="G33"/>
      <c r="H33"/>
      <c r="I33"/>
      <c r="J33"/>
    </row>
    <row r="34" spans="1:10" ht="15.75" x14ac:dyDescent="0.25">
      <c r="A34"/>
      <c r="B34"/>
      <c r="C34"/>
      <c r="D34"/>
      <c r="E34"/>
      <c r="F34"/>
      <c r="G34"/>
      <c r="H34"/>
      <c r="I34"/>
      <c r="J34"/>
    </row>
    <row r="35" spans="1:10" ht="15.75" x14ac:dyDescent="0.25">
      <c r="A35"/>
      <c r="B35"/>
      <c r="C35"/>
      <c r="D35"/>
      <c r="E35"/>
      <c r="F35"/>
      <c r="G35"/>
      <c r="H35"/>
      <c r="I35"/>
      <c r="J35"/>
    </row>
    <row r="36" spans="1:10" ht="15.75" x14ac:dyDescent="0.25">
      <c r="A36"/>
      <c r="B36"/>
      <c r="C36"/>
      <c r="D36"/>
      <c r="E36"/>
      <c r="F36"/>
      <c r="G36"/>
      <c r="H36"/>
      <c r="I36"/>
      <c r="J36"/>
    </row>
    <row r="37" spans="1:10" ht="15.75" x14ac:dyDescent="0.25">
      <c r="A37"/>
      <c r="B37"/>
      <c r="C37"/>
      <c r="D37"/>
      <c r="E37"/>
      <c r="F37"/>
      <c r="G37"/>
      <c r="H37"/>
      <c r="I37"/>
      <c r="J37"/>
    </row>
    <row r="38" spans="1:10" ht="15.75" x14ac:dyDescent="0.25">
      <c r="A38"/>
      <c r="B38"/>
      <c r="C38"/>
      <c r="D38"/>
      <c r="E38"/>
      <c r="F38"/>
      <c r="G38"/>
      <c r="H38"/>
      <c r="I38"/>
      <c r="J38"/>
    </row>
    <row r="39" spans="1:10" ht="15.75" x14ac:dyDescent="0.25">
      <c r="A39"/>
      <c r="B39"/>
      <c r="C39"/>
      <c r="D39"/>
      <c r="E39"/>
      <c r="F39"/>
      <c r="G39"/>
      <c r="H39"/>
      <c r="I39"/>
      <c r="J39"/>
    </row>
    <row r="40" spans="1:10" ht="15.75" x14ac:dyDescent="0.25">
      <c r="A40"/>
      <c r="B40"/>
      <c r="C40"/>
      <c r="D40"/>
      <c r="E40"/>
      <c r="F40"/>
      <c r="G40"/>
      <c r="H40"/>
      <c r="I40"/>
      <c r="J40"/>
    </row>
    <row r="41" spans="1:10" ht="15.75" x14ac:dyDescent="0.25">
      <c r="A41"/>
      <c r="B41"/>
      <c r="C41"/>
      <c r="D41"/>
      <c r="E41"/>
      <c r="F41"/>
      <c r="G41"/>
      <c r="H41"/>
      <c r="I41"/>
      <c r="J41"/>
    </row>
    <row r="42" spans="1:10" ht="15.75" x14ac:dyDescent="0.25">
      <c r="A42"/>
      <c r="B42"/>
      <c r="C42"/>
      <c r="D42"/>
      <c r="E42"/>
      <c r="F42"/>
      <c r="G42"/>
      <c r="H42"/>
      <c r="I42"/>
      <c r="J42"/>
    </row>
    <row r="43" spans="1:10" ht="15.75" x14ac:dyDescent="0.25">
      <c r="A43"/>
      <c r="B43"/>
      <c r="C43"/>
      <c r="D43"/>
      <c r="E43"/>
      <c r="F43"/>
      <c r="G43"/>
      <c r="H43"/>
      <c r="I43"/>
      <c r="J43"/>
    </row>
    <row r="44" spans="1:10" ht="15.75" x14ac:dyDescent="0.25">
      <c r="A44"/>
      <c r="B44"/>
      <c r="C44"/>
      <c r="D44"/>
      <c r="E44"/>
      <c r="F44"/>
      <c r="G44"/>
      <c r="H44"/>
      <c r="I44"/>
      <c r="J44"/>
    </row>
    <row r="45" spans="1:10" ht="15.75" x14ac:dyDescent="0.25">
      <c r="A45"/>
      <c r="B45"/>
      <c r="C45"/>
      <c r="D45"/>
      <c r="E45"/>
      <c r="F45"/>
      <c r="G45"/>
      <c r="H45"/>
      <c r="I45"/>
      <c r="J45"/>
    </row>
    <row r="46" spans="1:10" ht="15.75" x14ac:dyDescent="0.25">
      <c r="A46"/>
      <c r="B46"/>
      <c r="C46"/>
      <c r="D46"/>
      <c r="E46"/>
      <c r="F46"/>
      <c r="G46"/>
      <c r="H46"/>
      <c r="I46"/>
      <c r="J46"/>
    </row>
    <row r="47" spans="1:10" ht="15.75" x14ac:dyDescent="0.25">
      <c r="A47"/>
      <c r="B47"/>
      <c r="C47"/>
      <c r="D47"/>
      <c r="E47"/>
      <c r="F47"/>
      <c r="G47"/>
      <c r="H47"/>
      <c r="I47"/>
      <c r="J47"/>
    </row>
    <row r="48" spans="1:10" ht="15.75" x14ac:dyDescent="0.25">
      <c r="A48"/>
      <c r="B48"/>
      <c r="C48"/>
      <c r="D48"/>
      <c r="E48"/>
      <c r="F48"/>
      <c r="G48"/>
      <c r="H48"/>
      <c r="I48"/>
      <c r="J48"/>
    </row>
    <row r="49" spans="1:10" ht="15.75" x14ac:dyDescent="0.25">
      <c r="A49"/>
      <c r="B49"/>
      <c r="C49"/>
      <c r="D49"/>
      <c r="E49"/>
      <c r="F49"/>
      <c r="G49"/>
      <c r="H49"/>
      <c r="I49"/>
      <c r="J49"/>
    </row>
    <row r="50" spans="1:10" ht="15.75" x14ac:dyDescent="0.25">
      <c r="A50"/>
      <c r="B50"/>
      <c r="C50"/>
      <c r="D50"/>
      <c r="E50"/>
      <c r="F50"/>
      <c r="G50"/>
      <c r="H50"/>
      <c r="I50"/>
      <c r="J50"/>
    </row>
    <row r="51" spans="1:10" ht="15.75" x14ac:dyDescent="0.25">
      <c r="A51"/>
      <c r="B51"/>
      <c r="C51"/>
      <c r="D51"/>
      <c r="E51"/>
      <c r="F51"/>
      <c r="G51"/>
      <c r="H51"/>
      <c r="I51"/>
      <c r="J51"/>
    </row>
    <row r="52" spans="1:10" ht="15.75" x14ac:dyDescent="0.25">
      <c r="A52"/>
      <c r="B52"/>
      <c r="C52"/>
      <c r="D52"/>
      <c r="E52"/>
      <c r="F52"/>
      <c r="G52"/>
      <c r="H52"/>
      <c r="I52"/>
      <c r="J52"/>
    </row>
    <row r="53" spans="1:10" ht="15.75" x14ac:dyDescent="0.25">
      <c r="A53"/>
      <c r="B53"/>
      <c r="C53"/>
      <c r="D53"/>
      <c r="E53"/>
      <c r="F53"/>
      <c r="G53"/>
      <c r="H53"/>
      <c r="I53"/>
      <c r="J53"/>
    </row>
    <row r="54" spans="1:10" ht="15.75" x14ac:dyDescent="0.25">
      <c r="A54"/>
      <c r="B54"/>
      <c r="C54"/>
      <c r="D54"/>
      <c r="E54"/>
      <c r="F54"/>
      <c r="G54"/>
      <c r="H54"/>
      <c r="I54"/>
      <c r="J54"/>
    </row>
    <row r="55" spans="1:10" ht="15.75" x14ac:dyDescent="0.25">
      <c r="A55"/>
      <c r="B55"/>
      <c r="C55"/>
      <c r="D55"/>
      <c r="E55"/>
      <c r="F55"/>
      <c r="G55"/>
      <c r="H55"/>
      <c r="I55"/>
      <c r="J55"/>
    </row>
    <row r="56" spans="1:10" ht="15.75" x14ac:dyDescent="0.25">
      <c r="A56"/>
      <c r="B56"/>
      <c r="C56"/>
      <c r="D56"/>
      <c r="E56"/>
      <c r="F56"/>
      <c r="G56"/>
      <c r="H56"/>
      <c r="I56"/>
      <c r="J56"/>
    </row>
    <row r="57" spans="1:10" ht="15.75" x14ac:dyDescent="0.25">
      <c r="A57"/>
      <c r="B57"/>
      <c r="C57"/>
      <c r="D57"/>
      <c r="E57"/>
      <c r="F57"/>
      <c r="G57"/>
      <c r="H57"/>
      <c r="I57"/>
      <c r="J57"/>
    </row>
    <row r="58" spans="1:10" ht="15.75" x14ac:dyDescent="0.25">
      <c r="A58"/>
      <c r="B58"/>
      <c r="C58"/>
      <c r="D58"/>
      <c r="E58"/>
      <c r="F58"/>
      <c r="G58"/>
      <c r="H58"/>
      <c r="I58"/>
      <c r="J58"/>
    </row>
    <row r="59" spans="1:10" ht="15.75" x14ac:dyDescent="0.25">
      <c r="A59"/>
      <c r="B59"/>
      <c r="C59"/>
      <c r="D59"/>
      <c r="E59"/>
      <c r="F59"/>
      <c r="G59"/>
      <c r="H59"/>
      <c r="I59"/>
      <c r="J59"/>
    </row>
    <row r="60" spans="1:10" ht="15.75" x14ac:dyDescent="0.25">
      <c r="A60"/>
      <c r="B60"/>
      <c r="C60"/>
      <c r="D60"/>
      <c r="E60"/>
      <c r="F60"/>
      <c r="G60"/>
      <c r="H60"/>
      <c r="I60"/>
      <c r="J60"/>
    </row>
    <row r="61" spans="1:10" ht="15.75" x14ac:dyDescent="0.25">
      <c r="A61"/>
      <c r="B61"/>
      <c r="C61"/>
      <c r="D61"/>
      <c r="E61"/>
      <c r="F61"/>
      <c r="G61"/>
      <c r="H61"/>
      <c r="I61"/>
      <c r="J61"/>
    </row>
    <row r="62" spans="1:10" ht="15.75" x14ac:dyDescent="0.25">
      <c r="A62"/>
      <c r="B62"/>
      <c r="C62"/>
      <c r="D62"/>
      <c r="E62"/>
      <c r="F62"/>
      <c r="G62"/>
      <c r="H62"/>
      <c r="I62"/>
      <c r="J62"/>
    </row>
    <row r="63" spans="1:10" ht="15.75" x14ac:dyDescent="0.25">
      <c r="A63"/>
      <c r="B63"/>
      <c r="C63"/>
      <c r="D63"/>
      <c r="E63"/>
      <c r="F63"/>
      <c r="G63"/>
      <c r="H63"/>
      <c r="I63"/>
      <c r="J63"/>
    </row>
    <row r="64" spans="1:10" ht="15.75" x14ac:dyDescent="0.25">
      <c r="A64"/>
      <c r="B64"/>
      <c r="C64"/>
      <c r="D64"/>
      <c r="E64"/>
      <c r="F64"/>
      <c r="G64"/>
      <c r="H64"/>
      <c r="I64"/>
      <c r="J64"/>
    </row>
    <row r="65" spans="1:10" ht="15.75" x14ac:dyDescent="0.25">
      <c r="A65"/>
      <c r="B65"/>
      <c r="C65"/>
      <c r="D65"/>
      <c r="E65"/>
      <c r="F65"/>
      <c r="G65"/>
      <c r="H65"/>
      <c r="I65"/>
      <c r="J65"/>
    </row>
    <row r="66" spans="1:10" ht="15.75" x14ac:dyDescent="0.25">
      <c r="A66"/>
      <c r="B66"/>
      <c r="C66"/>
      <c r="D66"/>
      <c r="E66"/>
      <c r="F66"/>
      <c r="G66"/>
      <c r="H66"/>
      <c r="I66"/>
      <c r="J66"/>
    </row>
    <row r="67" spans="1:10" ht="15.75" x14ac:dyDescent="0.25">
      <c r="A67"/>
      <c r="B67"/>
      <c r="C67"/>
      <c r="D67"/>
      <c r="E67"/>
      <c r="F67"/>
      <c r="G67"/>
      <c r="H67"/>
      <c r="I67"/>
      <c r="J67"/>
    </row>
    <row r="68" spans="1:10" ht="15.75" x14ac:dyDescent="0.25">
      <c r="A68"/>
      <c r="B68"/>
      <c r="C68"/>
      <c r="D68"/>
      <c r="E68"/>
      <c r="F68"/>
      <c r="G68"/>
      <c r="H68"/>
      <c r="I68"/>
      <c r="J68"/>
    </row>
    <row r="69" spans="1:10" ht="15.75" x14ac:dyDescent="0.25">
      <c r="A69"/>
      <c r="B69"/>
      <c r="C69"/>
      <c r="D69"/>
      <c r="E69"/>
      <c r="F69"/>
      <c r="G69"/>
      <c r="H69"/>
      <c r="I69"/>
      <c r="J69"/>
    </row>
    <row r="70" spans="1:10" ht="15.75" x14ac:dyDescent="0.25">
      <c r="A70"/>
      <c r="B70"/>
      <c r="C70"/>
      <c r="D70"/>
      <c r="E70"/>
      <c r="F70"/>
      <c r="G70"/>
      <c r="H70"/>
      <c r="I70"/>
      <c r="J70"/>
    </row>
    <row r="71" spans="1:10" ht="15.75" x14ac:dyDescent="0.25">
      <c r="A71"/>
      <c r="B71"/>
      <c r="C71"/>
      <c r="D71"/>
      <c r="E71"/>
      <c r="F71"/>
      <c r="G71"/>
      <c r="H71"/>
      <c r="I71"/>
      <c r="J71"/>
    </row>
    <row r="72" spans="1:10" ht="15.75" x14ac:dyDescent="0.25">
      <c r="A72"/>
      <c r="B72"/>
      <c r="C72"/>
      <c r="D72"/>
      <c r="E72"/>
      <c r="F72"/>
      <c r="G72"/>
      <c r="H72"/>
      <c r="I72"/>
      <c r="J72"/>
    </row>
    <row r="73" spans="1:10" ht="15.75" x14ac:dyDescent="0.25">
      <c r="A73"/>
      <c r="B73"/>
      <c r="C73"/>
      <c r="D73"/>
      <c r="E73"/>
      <c r="F73"/>
      <c r="G73"/>
      <c r="H73"/>
      <c r="I73"/>
      <c r="J73"/>
    </row>
    <row r="74" spans="1:10" ht="15.75" x14ac:dyDescent="0.25">
      <c r="A74"/>
      <c r="B74"/>
      <c r="C74"/>
      <c r="D74"/>
      <c r="E74"/>
      <c r="F74"/>
      <c r="G74"/>
      <c r="H74"/>
      <c r="I74"/>
      <c r="J74"/>
    </row>
    <row r="75" spans="1:10" ht="15.75" x14ac:dyDescent="0.25">
      <c r="A75"/>
      <c r="B75"/>
      <c r="C75"/>
      <c r="D75"/>
      <c r="E75"/>
      <c r="F75"/>
      <c r="G75"/>
      <c r="H75"/>
      <c r="I75"/>
      <c r="J75"/>
    </row>
    <row r="76" spans="1:10" ht="15.75" x14ac:dyDescent="0.25">
      <c r="B76"/>
      <c r="C76"/>
      <c r="D76"/>
      <c r="E76"/>
      <c r="F76"/>
      <c r="G76"/>
      <c r="H76"/>
      <c r="I76"/>
      <c r="J76"/>
    </row>
    <row r="77" spans="1:10" ht="15.75" x14ac:dyDescent="0.25">
      <c r="B77"/>
      <c r="C77"/>
      <c r="D77"/>
      <c r="E77"/>
      <c r="F77"/>
      <c r="G77"/>
      <c r="H77"/>
      <c r="I77"/>
      <c r="J77"/>
    </row>
  </sheetData>
  <sheetProtection sheet="1" selectLockedCells="1"/>
  <pageMargins left="0.7" right="0.7" top="0.75" bottom="0.75" header="0.3" footer="0.3"/>
  <pageSetup orientation="portrait" horizontalDpi="1200" verticalDpi="12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Mobile View</vt:lpstr>
      <vt:lpstr>Dashboard</vt:lpstr>
      <vt:lpstr>Forms; Income &amp; Bills</vt:lpstr>
      <vt:lpstr>Data Preparation</vt:lpstr>
      <vt:lpstr>Documentation</vt:lpstr>
      <vt:lpstr>end_date</vt:lpstr>
      <vt:lpstr>start_date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Steve Norris</cp:lastModifiedBy>
  <cp:revision/>
  <dcterms:created xsi:type="dcterms:W3CDTF">2016-08-27T14:19:36Z</dcterms:created>
  <dcterms:modified xsi:type="dcterms:W3CDTF">2019-11-10T17:41:20Z</dcterms:modified>
  <cp:category/>
  <cp:contentStatus/>
</cp:coreProperties>
</file>