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b.pais\Documents\Articles\0_Article 1\Submit\Science\"/>
    </mc:Choice>
  </mc:AlternateContent>
  <xr:revisionPtr revIDLastSave="0" documentId="13_ncr:1_{029DA817-9C59-4649-919C-557C3C476FA6}" xr6:coauthVersionLast="47" xr6:coauthVersionMax="47" xr10:uidLastSave="{00000000-0000-0000-0000-000000000000}"/>
  <bookViews>
    <workbookView xWindow="28680" yWindow="-45" windowWidth="29040" windowHeight="15840" xr2:uid="{00000000-000D-0000-FFFF-FFFF00000000}"/>
  </bookViews>
  <sheets>
    <sheet name="Fig_SI1" sheetId="8" r:id="rId1"/>
    <sheet name="CC" sheetId="1" r:id="rId2"/>
    <sheet name="BI" sheetId="2" r:id="rId3"/>
    <sheet name="N" sheetId="3" r:id="rId4"/>
    <sheet name="P" sheetId="4" r:id="rId5"/>
    <sheet name="LSC" sheetId="5" r:id="rId6"/>
    <sheet name="FWU" sheetId="6" r:id="rId7"/>
    <sheet name="SOD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7" l="1"/>
  <c r="M4" i="7"/>
  <c r="J8" i="7"/>
  <c r="J2" i="7"/>
  <c r="I17" i="7"/>
  <c r="I2" i="7"/>
  <c r="H15" i="7"/>
  <c r="H2" i="7"/>
  <c r="F6" i="7"/>
  <c r="F2" i="7"/>
  <c r="E2" i="7"/>
  <c r="E3" i="7"/>
  <c r="E7" i="7"/>
  <c r="D2" i="7"/>
  <c r="D3" i="7"/>
  <c r="D5" i="7"/>
  <c r="C2" i="7"/>
  <c r="C4" i="7"/>
  <c r="C3" i="7"/>
  <c r="M13" i="6"/>
  <c r="M4" i="6"/>
  <c r="J11" i="6" l="1"/>
  <c r="J8" i="6"/>
  <c r="G8" i="6"/>
  <c r="K8" i="6"/>
  <c r="L8" i="6"/>
  <c r="I9" i="6"/>
  <c r="I18" i="6"/>
  <c r="I17" i="6"/>
  <c r="H9" i="6"/>
  <c r="H18" i="6"/>
  <c r="H15" i="6"/>
  <c r="G12" i="1"/>
  <c r="K12" i="1"/>
  <c r="L12" i="1"/>
  <c r="G12" i="2"/>
  <c r="K12" i="2"/>
  <c r="L12" i="2"/>
  <c r="G12" i="3"/>
  <c r="K12" i="3"/>
  <c r="L12" i="3"/>
  <c r="G12" i="4"/>
  <c r="K12" i="4"/>
  <c r="L12" i="4"/>
  <c r="G12" i="5"/>
  <c r="K12" i="5"/>
  <c r="L12" i="5"/>
  <c r="G12" i="7"/>
  <c r="K12" i="7"/>
  <c r="L12" i="7"/>
  <c r="F3" i="6" l="1"/>
  <c r="F16" i="6"/>
  <c r="F6" i="6"/>
  <c r="G6" i="6" s="1"/>
  <c r="E16" i="6"/>
  <c r="E7" i="6"/>
  <c r="E3" i="6"/>
  <c r="D3" i="6"/>
  <c r="D16" i="6"/>
  <c r="D5" i="6"/>
  <c r="G5" i="6" s="1"/>
  <c r="C4" i="6"/>
  <c r="C3" i="6"/>
  <c r="B14" i="6"/>
  <c r="B19" i="6" s="1"/>
  <c r="M13" i="5"/>
  <c r="M4" i="5"/>
  <c r="M19" i="5" s="1"/>
  <c r="J4" i="5"/>
  <c r="L4" i="5" s="1"/>
  <c r="J8" i="5"/>
  <c r="K8" i="5" s="1"/>
  <c r="I9" i="5"/>
  <c r="I17" i="5"/>
  <c r="H9" i="5"/>
  <c r="H15" i="5"/>
  <c r="K15" i="5" s="1"/>
  <c r="F9" i="5"/>
  <c r="F3" i="5"/>
  <c r="F6" i="5"/>
  <c r="E7" i="5"/>
  <c r="E3" i="5"/>
  <c r="G5" i="5"/>
  <c r="C3" i="5"/>
  <c r="C4" i="5"/>
  <c r="B14" i="5"/>
  <c r="B19" i="5" s="1"/>
  <c r="M13" i="4"/>
  <c r="M4" i="4"/>
  <c r="M10" i="4"/>
  <c r="J8" i="4"/>
  <c r="I17" i="4"/>
  <c r="H18" i="4"/>
  <c r="H19" i="4" s="1"/>
  <c r="H15" i="4"/>
  <c r="F3" i="4"/>
  <c r="F6" i="4"/>
  <c r="E3" i="4"/>
  <c r="E19" i="4" s="1"/>
  <c r="E7" i="4"/>
  <c r="G7" i="4" s="1"/>
  <c r="D3" i="4"/>
  <c r="D5" i="4"/>
  <c r="C4" i="4"/>
  <c r="C3" i="4"/>
  <c r="B14" i="4"/>
  <c r="M13" i="3"/>
  <c r="M4" i="3"/>
  <c r="J4" i="3"/>
  <c r="J8" i="3"/>
  <c r="K8" i="3" s="1"/>
  <c r="I18" i="3"/>
  <c r="I17" i="3"/>
  <c r="H18" i="3"/>
  <c r="H15" i="3"/>
  <c r="F3" i="3"/>
  <c r="F6" i="3"/>
  <c r="G6" i="3" s="1"/>
  <c r="E3" i="3"/>
  <c r="E7" i="3"/>
  <c r="G7" i="3" s="1"/>
  <c r="D3" i="3"/>
  <c r="D5" i="3"/>
  <c r="C3" i="3"/>
  <c r="C4" i="3"/>
  <c r="B14" i="3"/>
  <c r="B19" i="3" s="1"/>
  <c r="M13" i="2"/>
  <c r="M4" i="2"/>
  <c r="J2" i="2"/>
  <c r="J4" i="2"/>
  <c r="K4" i="2" s="1"/>
  <c r="J8" i="2"/>
  <c r="K8" i="2" s="1"/>
  <c r="I17" i="2"/>
  <c r="I9" i="2"/>
  <c r="I2" i="2"/>
  <c r="H2" i="2"/>
  <c r="H9" i="2"/>
  <c r="H15" i="2"/>
  <c r="K15" i="2" s="1"/>
  <c r="F2" i="2"/>
  <c r="F9" i="2"/>
  <c r="F6" i="2"/>
  <c r="G6" i="2" s="1"/>
  <c r="F3" i="2"/>
  <c r="E2" i="2"/>
  <c r="E9" i="2"/>
  <c r="E7" i="2"/>
  <c r="E3" i="2"/>
  <c r="C9" i="2"/>
  <c r="D5" i="2"/>
  <c r="G5" i="2" s="1"/>
  <c r="D2" i="2"/>
  <c r="D9" i="2"/>
  <c r="D3" i="2"/>
  <c r="C3" i="2"/>
  <c r="C2" i="2"/>
  <c r="C4" i="2"/>
  <c r="B14" i="2"/>
  <c r="B19" i="2" s="1"/>
  <c r="B2" i="2"/>
  <c r="M13" i="1"/>
  <c r="M4" i="1"/>
  <c r="M18" i="1" s="1"/>
  <c r="J11" i="1"/>
  <c r="L11" i="1" s="1"/>
  <c r="J2" i="1"/>
  <c r="J18" i="1" s="1"/>
  <c r="J4" i="1"/>
  <c r="L4" i="1" s="1"/>
  <c r="J8" i="1"/>
  <c r="K8" i="1" s="1"/>
  <c r="I2" i="1"/>
  <c r="I18" i="1" s="1"/>
  <c r="I9" i="1"/>
  <c r="I17" i="1"/>
  <c r="L17" i="1" s="1"/>
  <c r="H2" i="1"/>
  <c r="H9" i="1"/>
  <c r="H15" i="1"/>
  <c r="L15" i="1" s="1"/>
  <c r="F9" i="1"/>
  <c r="F6" i="1"/>
  <c r="G6" i="1" s="1"/>
  <c r="F3" i="1"/>
  <c r="F2" i="1"/>
  <c r="F18" i="1" s="1"/>
  <c r="E2" i="1"/>
  <c r="E9" i="1"/>
  <c r="G9" i="1" s="1"/>
  <c r="E7" i="1"/>
  <c r="G7" i="1" s="1"/>
  <c r="E3" i="1"/>
  <c r="D9" i="1"/>
  <c r="D5" i="1"/>
  <c r="G5" i="1" s="1"/>
  <c r="D3" i="1"/>
  <c r="D2" i="1"/>
  <c r="C9" i="1"/>
  <c r="C4" i="1"/>
  <c r="C2" i="1"/>
  <c r="C3" i="1"/>
  <c r="C18" i="1" s="1"/>
  <c r="B14" i="1"/>
  <c r="B2" i="1"/>
  <c r="G13" i="1"/>
  <c r="B18" i="1"/>
  <c r="G16" i="1"/>
  <c r="K16" i="1"/>
  <c r="L16" i="1"/>
  <c r="G16" i="2"/>
  <c r="K16" i="2"/>
  <c r="L16" i="2"/>
  <c r="G16" i="3"/>
  <c r="K16" i="3"/>
  <c r="L16" i="3"/>
  <c r="G16" i="4"/>
  <c r="K16" i="4"/>
  <c r="L16" i="4"/>
  <c r="G16" i="5"/>
  <c r="K16" i="5"/>
  <c r="L16" i="5"/>
  <c r="G16" i="7"/>
  <c r="K16" i="7"/>
  <c r="L16" i="7"/>
  <c r="G11" i="6"/>
  <c r="K11" i="6"/>
  <c r="L11" i="6"/>
  <c r="K2" i="6"/>
  <c r="K5" i="6"/>
  <c r="K6" i="6"/>
  <c r="K7" i="6"/>
  <c r="L10" i="6"/>
  <c r="L18" i="6"/>
  <c r="G18" i="7"/>
  <c r="K18" i="7"/>
  <c r="L18" i="7"/>
  <c r="G11" i="7"/>
  <c r="K11" i="7"/>
  <c r="L11" i="7"/>
  <c r="G7" i="6"/>
  <c r="G2" i="6"/>
  <c r="G18" i="6"/>
  <c r="G4" i="6"/>
  <c r="K4" i="6"/>
  <c r="L4" i="6"/>
  <c r="G10" i="6"/>
  <c r="K10" i="6"/>
  <c r="G2" i="5"/>
  <c r="K2" i="5"/>
  <c r="L2" i="5"/>
  <c r="G18" i="5"/>
  <c r="K18" i="5"/>
  <c r="L18" i="5"/>
  <c r="G11" i="5"/>
  <c r="K11" i="5"/>
  <c r="L11" i="5"/>
  <c r="G10" i="5"/>
  <c r="K10" i="5"/>
  <c r="L10" i="5"/>
  <c r="G2" i="4"/>
  <c r="K2" i="4"/>
  <c r="L2" i="4"/>
  <c r="G11" i="4"/>
  <c r="K11" i="4"/>
  <c r="L11" i="4"/>
  <c r="G9" i="4"/>
  <c r="K9" i="4"/>
  <c r="L9" i="4"/>
  <c r="G10" i="4"/>
  <c r="K10" i="4"/>
  <c r="L10" i="4"/>
  <c r="G18" i="4"/>
  <c r="K18" i="4"/>
  <c r="L18" i="4"/>
  <c r="G10" i="3"/>
  <c r="K10" i="3"/>
  <c r="L10" i="3"/>
  <c r="G9" i="3"/>
  <c r="K9" i="3"/>
  <c r="L9" i="3"/>
  <c r="G11" i="3"/>
  <c r="K11" i="3"/>
  <c r="L11" i="3"/>
  <c r="G2" i="3"/>
  <c r="K2" i="3"/>
  <c r="L2" i="3"/>
  <c r="G18" i="2"/>
  <c r="K18" i="2"/>
  <c r="L18" i="2"/>
  <c r="G11" i="2"/>
  <c r="K11" i="2"/>
  <c r="L11" i="2"/>
  <c r="G9" i="7"/>
  <c r="K9" i="7"/>
  <c r="L9" i="7"/>
  <c r="G7" i="7"/>
  <c r="K7" i="7"/>
  <c r="L7" i="7"/>
  <c r="G6" i="7"/>
  <c r="K6" i="7"/>
  <c r="L6" i="7"/>
  <c r="G5" i="7"/>
  <c r="K5" i="7"/>
  <c r="L5" i="7"/>
  <c r="G4" i="7"/>
  <c r="K4" i="7"/>
  <c r="L4" i="7"/>
  <c r="G3" i="7"/>
  <c r="K3" i="7"/>
  <c r="L3" i="7"/>
  <c r="J19" i="3"/>
  <c r="L10" i="1"/>
  <c r="K10" i="1"/>
  <c r="L13" i="1"/>
  <c r="K13" i="1"/>
  <c r="L6" i="1"/>
  <c r="K6" i="1"/>
  <c r="L7" i="1"/>
  <c r="K7" i="1"/>
  <c r="L5" i="1"/>
  <c r="K5" i="1"/>
  <c r="L3" i="1"/>
  <c r="K3" i="1"/>
  <c r="L14" i="1"/>
  <c r="K14" i="1"/>
  <c r="G10" i="1"/>
  <c r="G11" i="1"/>
  <c r="G8" i="1"/>
  <c r="G17" i="1"/>
  <c r="G15" i="1"/>
  <c r="G4" i="1"/>
  <c r="G14" i="1"/>
  <c r="L17" i="2"/>
  <c r="L13" i="2"/>
  <c r="K13" i="2"/>
  <c r="L10" i="2"/>
  <c r="K10" i="2"/>
  <c r="L6" i="2"/>
  <c r="K6" i="2"/>
  <c r="L7" i="2"/>
  <c r="K7" i="2"/>
  <c r="L5" i="2"/>
  <c r="K5" i="2"/>
  <c r="L3" i="2"/>
  <c r="K3" i="2"/>
  <c r="L14" i="2"/>
  <c r="K14" i="2"/>
  <c r="G13" i="2"/>
  <c r="G10" i="2"/>
  <c r="G8" i="2"/>
  <c r="G17" i="2"/>
  <c r="G15" i="2"/>
  <c r="G4" i="2"/>
  <c r="G14" i="2"/>
  <c r="G7" i="2"/>
  <c r="K17" i="5"/>
  <c r="L13" i="5"/>
  <c r="K13" i="5"/>
  <c r="L6" i="5"/>
  <c r="K6" i="5"/>
  <c r="L7" i="5"/>
  <c r="K7" i="5"/>
  <c r="L5" i="5"/>
  <c r="K5" i="5"/>
  <c r="L3" i="5"/>
  <c r="K3" i="5"/>
  <c r="L14" i="5"/>
  <c r="K14" i="5"/>
  <c r="G14" i="5"/>
  <c r="G4" i="5"/>
  <c r="G15" i="5"/>
  <c r="G17" i="5"/>
  <c r="G8" i="5"/>
  <c r="G13" i="5"/>
  <c r="G6" i="5"/>
  <c r="G7" i="5"/>
  <c r="L13" i="4"/>
  <c r="L8" i="4"/>
  <c r="I19" i="4"/>
  <c r="F19" i="4"/>
  <c r="G6" i="4"/>
  <c r="D19" i="4"/>
  <c r="B19" i="4"/>
  <c r="K4" i="3"/>
  <c r="K15" i="3"/>
  <c r="I19" i="3"/>
  <c r="G5" i="3"/>
  <c r="C19" i="3"/>
  <c r="M19" i="7"/>
  <c r="L8" i="7"/>
  <c r="L17" i="7"/>
  <c r="I19" i="7"/>
  <c r="L15" i="7"/>
  <c r="F19" i="7"/>
  <c r="L13" i="7"/>
  <c r="K13" i="7"/>
  <c r="K17" i="7"/>
  <c r="L10" i="7"/>
  <c r="K10" i="7"/>
  <c r="L14" i="7"/>
  <c r="K14" i="7"/>
  <c r="G13" i="7"/>
  <c r="G8" i="7"/>
  <c r="G17" i="7"/>
  <c r="G15" i="7"/>
  <c r="G14" i="7"/>
  <c r="J19" i="6"/>
  <c r="I19" i="6"/>
  <c r="H19" i="6"/>
  <c r="F19" i="6"/>
  <c r="G4" i="3"/>
  <c r="G17" i="3"/>
  <c r="G18" i="3"/>
  <c r="G15" i="3"/>
  <c r="G8" i="3"/>
  <c r="G13" i="3"/>
  <c r="G4" i="4"/>
  <c r="G15" i="4"/>
  <c r="G17" i="4"/>
  <c r="G8" i="4"/>
  <c r="G13" i="4"/>
  <c r="G14" i="4"/>
  <c r="G14" i="6"/>
  <c r="G15" i="6"/>
  <c r="G17" i="6"/>
  <c r="G12" i="6"/>
  <c r="G13" i="6"/>
  <c r="C19" i="6"/>
  <c r="K13" i="6"/>
  <c r="L13" i="6"/>
  <c r="L14" i="6"/>
  <c r="K14" i="6"/>
  <c r="K3" i="6"/>
  <c r="L9" i="6"/>
  <c r="K9" i="6"/>
  <c r="K4" i="4"/>
  <c r="K14" i="4"/>
  <c r="K13" i="4"/>
  <c r="L6" i="4"/>
  <c r="K6" i="4"/>
  <c r="L7" i="4"/>
  <c r="K7" i="4"/>
  <c r="L5" i="4"/>
  <c r="K5" i="4"/>
  <c r="L3" i="4"/>
  <c r="K3" i="4"/>
  <c r="K6" i="3"/>
  <c r="L5" i="3"/>
  <c r="L7" i="3"/>
  <c r="L13" i="3"/>
  <c r="K5" i="3"/>
  <c r="K7" i="3"/>
  <c r="K13" i="3"/>
  <c r="M19" i="3" l="1"/>
  <c r="K18" i="3"/>
  <c r="L8" i="1"/>
  <c r="L9" i="1"/>
  <c r="E18" i="1"/>
  <c r="J19" i="5"/>
  <c r="L4" i="2"/>
  <c r="K4" i="1"/>
  <c r="K9" i="1"/>
  <c r="G3" i="1"/>
  <c r="D18" i="1"/>
  <c r="L2" i="1"/>
  <c r="L18" i="1" s="1"/>
  <c r="H18" i="1"/>
  <c r="K15" i="1"/>
  <c r="K15" i="4"/>
  <c r="L15" i="4"/>
  <c r="K18" i="6"/>
  <c r="L2" i="6"/>
  <c r="L7" i="6"/>
  <c r="L5" i="6"/>
  <c r="L6" i="6"/>
  <c r="L2" i="7"/>
  <c r="L19" i="7" s="1"/>
  <c r="K15" i="7"/>
  <c r="L15" i="6"/>
  <c r="E19" i="6"/>
  <c r="D19" i="6"/>
  <c r="M19" i="6"/>
  <c r="K12" i="6"/>
  <c r="L12" i="6"/>
  <c r="K17" i="6"/>
  <c r="L17" i="6"/>
  <c r="K15" i="6"/>
  <c r="G3" i="5"/>
  <c r="C19" i="5"/>
  <c r="K4" i="5"/>
  <c r="F19" i="5"/>
  <c r="E19" i="5"/>
  <c r="H19" i="5"/>
  <c r="D19" i="5"/>
  <c r="L17" i="5"/>
  <c r="G5" i="4"/>
  <c r="C19" i="4"/>
  <c r="M19" i="4"/>
  <c r="K17" i="4"/>
  <c r="L17" i="4"/>
  <c r="J19" i="4"/>
  <c r="K8" i="4"/>
  <c r="G3" i="4"/>
  <c r="L18" i="3"/>
  <c r="L17" i="3"/>
  <c r="F19" i="3"/>
  <c r="H19" i="3"/>
  <c r="D19" i="3"/>
  <c r="K17" i="3"/>
  <c r="L8" i="3"/>
  <c r="L4" i="3"/>
  <c r="E19" i="3"/>
  <c r="G3" i="3"/>
  <c r="D19" i="2"/>
  <c r="H19" i="2"/>
  <c r="G2" i="2"/>
  <c r="G3" i="2"/>
  <c r="L2" i="2"/>
  <c r="K9" i="2"/>
  <c r="L15" i="2"/>
  <c r="L8" i="2"/>
  <c r="E19" i="2"/>
  <c r="M19" i="2"/>
  <c r="C19" i="2"/>
  <c r="J19" i="2"/>
  <c r="D19" i="7"/>
  <c r="B19" i="7"/>
  <c r="C19" i="7"/>
  <c r="E19" i="7"/>
  <c r="J19" i="7"/>
  <c r="G10" i="7"/>
  <c r="K8" i="7"/>
  <c r="H19" i="7"/>
  <c r="G2" i="7"/>
  <c r="G19" i="7" s="1"/>
  <c r="K9" i="5"/>
  <c r="I19" i="5"/>
  <c r="K2" i="2"/>
  <c r="K17" i="2"/>
  <c r="I19" i="2"/>
  <c r="L9" i="2"/>
  <c r="G9" i="2"/>
  <c r="F19" i="2"/>
  <c r="K11" i="1"/>
  <c r="K17" i="1"/>
  <c r="K2" i="1"/>
  <c r="G2" i="1"/>
  <c r="G18" i="1" s="1"/>
  <c r="L8" i="5"/>
  <c r="L9" i="5"/>
  <c r="L15" i="5"/>
  <c r="L15" i="3"/>
  <c r="K2" i="7"/>
  <c r="G16" i="6"/>
  <c r="G9" i="6"/>
  <c r="G3" i="6"/>
  <c r="K16" i="6"/>
  <c r="L3" i="6"/>
  <c r="L16" i="6"/>
  <c r="L4" i="4"/>
  <c r="L14" i="4"/>
  <c r="L14" i="3"/>
  <c r="L6" i="3"/>
  <c r="K3" i="3"/>
  <c r="K14" i="3"/>
  <c r="G14" i="3"/>
  <c r="L3" i="3"/>
  <c r="K18" i="1" l="1"/>
  <c r="G19" i="2"/>
  <c r="K19" i="2"/>
  <c r="K19" i="3"/>
  <c r="L19" i="4"/>
  <c r="G19" i="4"/>
  <c r="K19" i="4"/>
  <c r="K19" i="7"/>
  <c r="K19" i="6"/>
  <c r="L19" i="5"/>
  <c r="K19" i="5"/>
  <c r="G9" i="5"/>
  <c r="G19" i="5" s="1"/>
  <c r="G19" i="3"/>
  <c r="L19" i="3"/>
  <c r="L19" i="2"/>
  <c r="L19" i="6"/>
  <c r="G19" i="6"/>
</calcChain>
</file>

<file path=xl/sharedStrings.xml><?xml version="1.0" encoding="utf-8"?>
<sst xmlns="http://schemas.openxmlformats.org/spreadsheetml/2006/main" count="234" uniqueCount="51">
  <si>
    <t>FK</t>
  </si>
  <si>
    <t>PtL-grid</t>
  </si>
  <si>
    <t>PtL-PV</t>
  </si>
  <si>
    <t>PtL-wind-onshore</t>
  </si>
  <si>
    <t>PtL-wind-offshore</t>
  </si>
  <si>
    <t>PtL-dedicated</t>
  </si>
  <si>
    <t>FT-residues</t>
  </si>
  <si>
    <t>FT-products</t>
  </si>
  <si>
    <t>HEFA-rapeseed</t>
  </si>
  <si>
    <t>Bio-FT</t>
  </si>
  <si>
    <t>Bio-HEFA</t>
  </si>
  <si>
    <t>LH2</t>
  </si>
  <si>
    <t>Activity</t>
  </si>
  <si>
    <t>Zeolite production</t>
  </si>
  <si>
    <t>Irrigation</t>
  </si>
  <si>
    <t>Wood chips production</t>
  </si>
  <si>
    <t>DAC</t>
  </si>
  <si>
    <t>Petroleum production</t>
  </si>
  <si>
    <t>Liquefaction H2</t>
  </si>
  <si>
    <t>Combustion</t>
  </si>
  <si>
    <t>Supply of forest residues</t>
  </si>
  <si>
    <t>Farming and supply of rapeseed</t>
  </si>
  <si>
    <t>Electricity for electrolysis, grid</t>
  </si>
  <si>
    <t>Electricity for electrolysis, photovoltaic</t>
  </si>
  <si>
    <t>Electricity for electrolysis, wind-onshore</t>
  </si>
  <si>
    <t>Electricity for electrolysis, wind-offshore</t>
  </si>
  <si>
    <t>Liquefaction of H2</t>
  </si>
  <si>
    <t>FT process</t>
  </si>
  <si>
    <t>HEFA process</t>
  </si>
  <si>
    <t>H2 production plant construction</t>
  </si>
  <si>
    <t>FT procees</t>
  </si>
  <si>
    <t>Water for electrolysis</t>
  </si>
  <si>
    <t>Sheet</t>
  </si>
  <si>
    <t>Decription</t>
  </si>
  <si>
    <t>CC</t>
  </si>
  <si>
    <t>BI</t>
  </si>
  <si>
    <t>N</t>
  </si>
  <si>
    <t>P</t>
  </si>
  <si>
    <t>LSC</t>
  </si>
  <si>
    <t>FWU</t>
  </si>
  <si>
    <t>SOD</t>
  </si>
  <si>
    <t>General</t>
  </si>
  <si>
    <t>Relative contribution to climate change impact</t>
  </si>
  <si>
    <t>Relative contribution to biosphere integrity impact</t>
  </si>
  <si>
    <t>Relative contribution to nitrogen cycle impact</t>
  </si>
  <si>
    <t>Relative contribution to phosphorus cycle impact</t>
  </si>
  <si>
    <t>Relative contribution to land-system change impact</t>
  </si>
  <si>
    <t>Relative contribution to freshwater use impact</t>
  </si>
  <si>
    <t>Relative contribution to stratospheric ozone depletion impact</t>
  </si>
  <si>
    <t>Rest</t>
  </si>
  <si>
    <t>Activities relative contribution to fossil kerosene and AEC impacts on planetary boundaries
Results are expressed in % of the total impact of the fuel considered
The background technosphere is consistent with Remind SSP2-RCP2.6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</si>
</sst>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219075</xdr:colOff>
      <xdr:row>6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3804320-8568-457E-B4C7-AA8C0358D285}"/>
            </a:ext>
          </a:extLst>
        </xdr:cNvPr>
        <xdr:cNvSpPr txBox="1"/>
      </xdr:nvSpPr>
      <xdr:spPr>
        <a:xfrm>
          <a:off x="0" y="0"/>
          <a:ext cx="5766435" cy="1268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F721B6-05C7-4BFD-989E-77A358A97EB9}" name="Tableau2" displayName="Tableau2" ref="A1:M17" totalsRowShown="0" headerRowDxfId="125" dataDxfId="123" headerRowBorderDxfId="124" tableBorderDxfId="122" totalsRowBorderDxfId="121" dataCellStyle="Pourcentage">
  <autoFilter ref="A1:M17" xr:uid="{52F721B6-05C7-4BFD-989E-77A358A97EB9}"/>
  <sortState xmlns:xlrd2="http://schemas.microsoft.com/office/spreadsheetml/2017/richdata2" ref="A2:M17">
    <sortCondition ref="A1:A17"/>
  </sortState>
  <tableColumns count="13">
    <tableColumn id="1" xr3:uid="{C7BFB7FF-98E8-49B8-AEC1-46D38D8FCF82}" name="Activity" dataDxfId="120"/>
    <tableColumn id="2" xr3:uid="{8E8E98C4-42C4-4BAF-84D3-479CE83F6C14}" name="FK" dataDxfId="119" dataCellStyle="Pourcentage"/>
    <tableColumn id="3" xr3:uid="{DBF33FFC-5549-4D75-81A9-ABD0CB9E596B}" name="PtL-grid" dataDxfId="118" dataCellStyle="Pourcentage"/>
    <tableColumn id="4" xr3:uid="{4A4671C8-3E8E-4078-A849-A7C4F0F68083}" name="PtL-PV" dataDxfId="117" dataCellStyle="Pourcentage"/>
    <tableColumn id="5" xr3:uid="{708F2B8F-CF85-458A-9448-A2A143FEE3C3}" name="PtL-wind-onshore" dataDxfId="116" dataCellStyle="Pourcentage"/>
    <tableColumn id="6" xr3:uid="{3F3CDB0B-2CEC-45F1-A5A1-549E6669B3AA}" name="PtL-wind-offshore" dataDxfId="115" dataCellStyle="Pourcentage"/>
    <tableColumn id="7" xr3:uid="{6B4EBC9A-BEDA-4CDE-86E3-32B45E740D51}" name="PtL-dedicated" dataDxfId="114" dataCellStyle="Pourcentage">
      <calculatedColumnFormula>(1/3)*D2+(1/3)*E2+(1/3)*F2</calculatedColumnFormula>
    </tableColumn>
    <tableColumn id="8" xr3:uid="{BF31A561-B0F2-4BD0-92A3-DC60A64656CE}" name="FT-residues" dataDxfId="113" dataCellStyle="Pourcentage"/>
    <tableColumn id="9" xr3:uid="{2F2FC2F0-D3F2-4144-8A42-3F038B2859D7}" name="FT-products" dataDxfId="112" dataCellStyle="Pourcentage"/>
    <tableColumn id="10" xr3:uid="{7A9F4376-A106-4C4F-BDE5-5FC79B7B373D}" name="HEFA-rapeseed" dataDxfId="111" dataCellStyle="Pourcentage"/>
    <tableColumn id="11" xr3:uid="{F357C43A-0FC6-480D-B5D1-0099B6F20CB9}" name="Bio-FT" dataDxfId="110" dataCellStyle="Pourcentage">
      <calculatedColumnFormula>0.15*J2+0.425*I2+0.425*H2</calculatedColumnFormula>
    </tableColumn>
    <tableColumn id="12" xr3:uid="{F15FB1FE-FABC-4C76-81B4-E76FEB66B5DC}" name="Bio-HEFA" dataDxfId="109" dataCellStyle="Pourcentage">
      <calculatedColumnFormula>0.7*J2+0.15*I2+0.15*H2</calculatedColumnFormula>
    </tableColumn>
    <tableColumn id="13" xr3:uid="{3A6004A2-52C6-47C3-BCC2-F0A917486BDF}" name="LH2" dataDxfId="108" dataCellStyle="Pou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C81E48-4669-4526-A1A8-2DB3683DF814}" name="Tableau3" displayName="Tableau3" ref="A1:M18" totalsRowShown="0" headerRowDxfId="107" dataDxfId="105" headerRowBorderDxfId="106" tableBorderDxfId="104" totalsRowBorderDxfId="103" dataCellStyle="Pourcentage">
  <autoFilter ref="A1:M18" xr:uid="{B6C81E48-4669-4526-A1A8-2DB3683DF814}"/>
  <sortState xmlns:xlrd2="http://schemas.microsoft.com/office/spreadsheetml/2017/richdata2" ref="A2:M18">
    <sortCondition ref="A1:A18"/>
  </sortState>
  <tableColumns count="13">
    <tableColumn id="1" xr3:uid="{042BA0FD-EE69-4B64-B2A4-C4467E9DBB03}" name="Activity" dataDxfId="102"/>
    <tableColumn id="2" xr3:uid="{04184FE5-718D-4A61-8DBF-5AA5301976A7}" name="FK" dataDxfId="101" dataCellStyle="Pourcentage"/>
    <tableColumn id="3" xr3:uid="{6EAA1587-9A7A-419C-9A55-FF8411D15446}" name="PtL-grid" dataDxfId="100" dataCellStyle="Pourcentage"/>
    <tableColumn id="4" xr3:uid="{F382250B-1A10-4F98-9FAE-B8821EBAB809}" name="PtL-PV" dataDxfId="99" dataCellStyle="Pourcentage"/>
    <tableColumn id="5" xr3:uid="{4D45DEE6-914A-4C6D-AAA5-1C8D8F2CDA3F}" name="PtL-wind-onshore" dataDxfId="98" dataCellStyle="Pourcentage"/>
    <tableColumn id="6" xr3:uid="{F032F96B-FB4C-48AA-AB70-B3C58DB70BCD}" name="PtL-wind-offshore" dataDxfId="97" dataCellStyle="Pourcentage"/>
    <tableColumn id="7" xr3:uid="{1FFC9EA2-8718-4410-AE04-32A65F46714F}" name="PtL-dedicated" dataDxfId="96" dataCellStyle="Pourcentage">
      <calculatedColumnFormula>(1/3)*D2+(1/3)*E2+(1/3)*F2</calculatedColumnFormula>
    </tableColumn>
    <tableColumn id="8" xr3:uid="{DFDED2EA-4A17-482E-8551-42E972DBA85A}" name="FT-residues" dataDxfId="95" dataCellStyle="Pourcentage"/>
    <tableColumn id="9" xr3:uid="{D046D22D-0985-4E4E-9567-F225CFE32C2C}" name="FT-products" dataDxfId="94" dataCellStyle="Pourcentage"/>
    <tableColumn id="10" xr3:uid="{09B09593-CB89-4DC3-81B8-39FEDED0206E}" name="HEFA-rapeseed" dataDxfId="93" dataCellStyle="Pourcentage"/>
    <tableColumn id="11" xr3:uid="{492CD8F3-1C16-40D8-9C05-8108FB677BC2}" name="Bio-FT" dataDxfId="92" dataCellStyle="Pourcentage">
      <calculatedColumnFormula>0.15*J2+0.425*I2+0.425*H2</calculatedColumnFormula>
    </tableColumn>
    <tableColumn id="12" xr3:uid="{F36494B0-9969-4FEB-9CA4-87659A97D1C1}" name="Bio-HEFA" dataDxfId="91" dataCellStyle="Pourcentage">
      <calculatedColumnFormula>0.7*J2+0.15*I2+0.15*H2</calculatedColumnFormula>
    </tableColumn>
    <tableColumn id="13" xr3:uid="{E26367B6-ED21-44A1-9561-BE7FAEA46272}" name="LH2" dataDxfId="90" dataCellStyle="Pourcent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FF3DC8-A885-42ED-A9F8-D87F5C864C03}" name="Tableau4" displayName="Tableau4" ref="A1:M18" totalsRowShown="0" headerRowDxfId="89" dataDxfId="87" headerRowBorderDxfId="88" tableBorderDxfId="86" totalsRowBorderDxfId="85" dataCellStyle="Pourcentage">
  <autoFilter ref="A1:M18" xr:uid="{E3FF3DC8-A885-42ED-A9F8-D87F5C864C03}"/>
  <sortState xmlns:xlrd2="http://schemas.microsoft.com/office/spreadsheetml/2017/richdata2" ref="A2:M18">
    <sortCondition ref="A1:A18"/>
  </sortState>
  <tableColumns count="13">
    <tableColumn id="1" xr3:uid="{5B3B9F01-98F9-4841-978E-2DD5E790DE86}" name="Activity" dataDxfId="84"/>
    <tableColumn id="2" xr3:uid="{AA771BD6-9DE8-4F7C-AAFC-154DC8FA44C7}" name="FK" dataDxfId="83" dataCellStyle="Pourcentage"/>
    <tableColumn id="3" xr3:uid="{AA98F880-5102-4710-BECC-E2387888691A}" name="PtL-grid" dataDxfId="82" dataCellStyle="Pourcentage"/>
    <tableColumn id="4" xr3:uid="{22D87E2B-F78C-4E85-81B7-C5F6884DE78F}" name="PtL-PV" dataDxfId="81" dataCellStyle="Pourcentage"/>
    <tableColumn id="5" xr3:uid="{69AF832C-AB3D-43F7-806E-0EC9A5483F1C}" name="PtL-wind-onshore" dataDxfId="80" dataCellStyle="Pourcentage"/>
    <tableColumn id="6" xr3:uid="{ED43EFD0-DA17-46E6-9229-404D480C95E5}" name="PtL-wind-offshore" dataDxfId="79" dataCellStyle="Pourcentage"/>
    <tableColumn id="7" xr3:uid="{55195AC7-159C-46A9-B710-4F4E8496A86E}" name="PtL-dedicated" dataDxfId="78" dataCellStyle="Pourcentage">
      <calculatedColumnFormula>(1/3)*D2+(1/3)*E2+(1/3)*F2</calculatedColumnFormula>
    </tableColumn>
    <tableColumn id="8" xr3:uid="{EAA4CB6E-C685-4B19-94A5-D9670BD44CFC}" name="FT-residues" dataDxfId="77" dataCellStyle="Pourcentage"/>
    <tableColumn id="9" xr3:uid="{65431F5A-D4FF-47F7-99C2-22EEBC4B03F7}" name="FT-products" dataDxfId="76" dataCellStyle="Pourcentage"/>
    <tableColumn id="10" xr3:uid="{0FA4C9E7-D87D-4407-BAE4-D0CA0C5D465E}" name="HEFA-rapeseed" dataDxfId="75" dataCellStyle="Pourcentage"/>
    <tableColumn id="11" xr3:uid="{B032C590-2C3F-4900-B892-459A0F4C0165}" name="Bio-FT" dataDxfId="74" dataCellStyle="Pourcentage">
      <calculatedColumnFormula>0.15*J2+0.425*I2+0.425*H2</calculatedColumnFormula>
    </tableColumn>
    <tableColumn id="12" xr3:uid="{E2E9C2BA-6AF6-4C73-B6CF-A3AFC10A63F6}" name="Bio-HEFA" dataDxfId="73" dataCellStyle="Pourcentage">
      <calculatedColumnFormula>0.7*J2+0.15*I2+0.15*H2</calculatedColumnFormula>
    </tableColumn>
    <tableColumn id="13" xr3:uid="{E31FDEF0-6973-4265-8D22-6BB5B5FFAEDD}" name="LH2" dataDxfId="72" dataCellStyle="Pourcent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8FC19B-D522-4707-B348-C7A05A870B60}" name="Tableau5" displayName="Tableau5" ref="A1:M18" totalsRowShown="0" headerRowDxfId="71" dataDxfId="69" headerRowBorderDxfId="70" tableBorderDxfId="68" totalsRowBorderDxfId="67" dataCellStyle="Pourcentage">
  <autoFilter ref="A1:M18" xr:uid="{428FC19B-D522-4707-B348-C7A05A870B60}"/>
  <sortState xmlns:xlrd2="http://schemas.microsoft.com/office/spreadsheetml/2017/richdata2" ref="A2:M18">
    <sortCondition ref="A1:A18"/>
  </sortState>
  <tableColumns count="13">
    <tableColumn id="1" xr3:uid="{C07DB6D9-013C-4646-8AA7-880E2297DC27}" name="Activity" dataDxfId="66"/>
    <tableColumn id="2" xr3:uid="{71055647-1D8D-4A33-8ED0-A380A393BFD6}" name="FK" dataDxfId="65" dataCellStyle="Pourcentage"/>
    <tableColumn id="3" xr3:uid="{217B725E-ED4D-4F55-B8D0-435FFE9F668C}" name="PtL-grid" dataDxfId="64" dataCellStyle="Pourcentage"/>
    <tableColumn id="4" xr3:uid="{1465EEA1-482B-4B51-931B-EEFA2BC62A5E}" name="PtL-PV" dataDxfId="63" dataCellStyle="Pourcentage"/>
    <tableColumn id="5" xr3:uid="{AC729E9C-62CC-419A-90BC-00A44B6BDC1C}" name="PtL-wind-onshore" dataDxfId="62" dataCellStyle="Pourcentage"/>
    <tableColumn id="6" xr3:uid="{4F31CC73-0264-4776-A7DD-A441DEE0F932}" name="PtL-wind-offshore" dataDxfId="61" dataCellStyle="Pourcentage"/>
    <tableColumn id="7" xr3:uid="{5E709E04-BEF1-47EB-B1A7-54D46CB977EB}" name="PtL-dedicated" dataDxfId="60" dataCellStyle="Pourcentage">
      <calculatedColumnFormula>(1/3)*D2+(1/3)*E2+(1/3)*F2</calculatedColumnFormula>
    </tableColumn>
    <tableColumn id="8" xr3:uid="{E7543E85-0367-4834-ACE8-FAA394F263FB}" name="FT-residues" dataDxfId="59" dataCellStyle="Pourcentage"/>
    <tableColumn id="9" xr3:uid="{6836BDAD-C12F-4CB8-BBD4-D3586C134BF7}" name="FT-products" dataDxfId="58" dataCellStyle="Pourcentage"/>
    <tableColumn id="10" xr3:uid="{07FD6700-A597-43EA-B7B8-B0F21E4E2817}" name="HEFA-rapeseed" dataDxfId="57" dataCellStyle="Pourcentage"/>
    <tableColumn id="11" xr3:uid="{8CEF22D5-E457-44F7-A55B-1F808F6AE30A}" name="Bio-FT" dataDxfId="56" dataCellStyle="Pourcentage">
      <calculatedColumnFormula>0.15*J2+0.425*I2+0.425*H2</calculatedColumnFormula>
    </tableColumn>
    <tableColumn id="12" xr3:uid="{02D71603-3AF8-41CC-9119-38E506F085EC}" name="Bio-HEFA" dataDxfId="55" dataCellStyle="Pourcentage">
      <calculatedColumnFormula>0.7*J2+0.15*I2+0.15*H2</calculatedColumnFormula>
    </tableColumn>
    <tableColumn id="13" xr3:uid="{8244AD5A-837C-49B0-B4E5-76142EFA64C7}" name="LH2" dataDxfId="54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056F49-B34C-4A0B-B4C7-35A06C5A6889}" name="Tableau6" displayName="Tableau6" ref="A1:M18" totalsRowShown="0" headerRowDxfId="53" dataDxfId="51" headerRowBorderDxfId="52" tableBorderDxfId="50" totalsRowBorderDxfId="49" dataCellStyle="Pourcentage">
  <autoFilter ref="A1:M18" xr:uid="{64056F49-B34C-4A0B-B4C7-35A06C5A6889}"/>
  <sortState xmlns:xlrd2="http://schemas.microsoft.com/office/spreadsheetml/2017/richdata2" ref="A2:M18">
    <sortCondition ref="A1:A18"/>
  </sortState>
  <tableColumns count="13">
    <tableColumn id="1" xr3:uid="{F0375E6A-EEBD-4FC4-8137-43F03D21314C}" name="Activity" dataDxfId="48"/>
    <tableColumn id="2" xr3:uid="{9C9911F0-7BAE-49C6-960D-2D49A3AA31D4}" name="FK" dataDxfId="47" dataCellStyle="Pourcentage"/>
    <tableColumn id="3" xr3:uid="{AD3D35B0-0C93-46AB-8AD0-6043D58D627F}" name="PtL-grid" dataDxfId="46" dataCellStyle="Pourcentage"/>
    <tableColumn id="4" xr3:uid="{50FC4611-01CF-4FBE-9D7E-0E86F4FB87A0}" name="PtL-PV" dataDxfId="45" dataCellStyle="Pourcentage"/>
    <tableColumn id="5" xr3:uid="{A581FB49-397B-4D90-B09C-25A81F0A1DE6}" name="PtL-wind-onshore" dataDxfId="44" dataCellStyle="Pourcentage"/>
    <tableColumn id="6" xr3:uid="{7A883F1F-6176-45D4-B75C-0EF8C7CD63E4}" name="PtL-wind-offshore" dataDxfId="43" dataCellStyle="Pourcentage"/>
    <tableColumn id="7" xr3:uid="{06DFCB23-0CA9-45BC-B8EB-4A3F6CA2A82D}" name="PtL-dedicated" dataDxfId="42" dataCellStyle="Pourcentage">
      <calculatedColumnFormula>(1/3)*D2+(1/3)*E2+(1/3)*F2</calculatedColumnFormula>
    </tableColumn>
    <tableColumn id="8" xr3:uid="{E7451A97-31B8-43B9-89AE-24CFDE6CA6A7}" name="FT-residues" dataDxfId="41" dataCellStyle="Pourcentage"/>
    <tableColumn id="9" xr3:uid="{4978A742-DCEA-4F59-8DC9-72276785814D}" name="FT-products" dataDxfId="40" dataCellStyle="Pourcentage"/>
    <tableColumn id="10" xr3:uid="{159436DA-6B7B-4313-8755-A959C8F8F177}" name="HEFA-rapeseed" dataDxfId="39" dataCellStyle="Pourcentage"/>
    <tableColumn id="11" xr3:uid="{C1DD66A9-A0E1-42F8-B898-21BFD8E8768E}" name="Bio-FT" dataDxfId="38" dataCellStyle="Pourcentage">
      <calculatedColumnFormula>0.15*J2+0.425*I2+0.425*H2</calculatedColumnFormula>
    </tableColumn>
    <tableColumn id="12" xr3:uid="{1CDFE674-D988-48F5-BB52-BB5CBD6F9580}" name="Bio-HEFA" dataDxfId="37" dataCellStyle="Pourcentage">
      <calculatedColumnFormula>0.7*J2+0.15*I2+0.15*H2</calculatedColumnFormula>
    </tableColumn>
    <tableColumn id="13" xr3:uid="{BFB25D7F-44D0-4121-8C9B-9A0801E5267F}" name="LH2" dataDxfId="36" dataCellStyle="Pou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792216-A73A-422F-9A30-9B73EFCEAFDD}" name="Tableau7" displayName="Tableau7" ref="A1:M18" totalsRowShown="0" headerRowDxfId="35" dataDxfId="33" headerRowBorderDxfId="34" tableBorderDxfId="32" totalsRowBorderDxfId="31" dataCellStyle="Pourcentage">
  <autoFilter ref="A1:M18" xr:uid="{EC792216-A73A-422F-9A30-9B73EFCEAFDD}"/>
  <sortState xmlns:xlrd2="http://schemas.microsoft.com/office/spreadsheetml/2017/richdata2" ref="A2:M18">
    <sortCondition ref="A1:A18"/>
  </sortState>
  <tableColumns count="13">
    <tableColumn id="1" xr3:uid="{D06AE6AD-69E6-4732-8F1D-C843D64EB671}" name="Activity" dataDxfId="30"/>
    <tableColumn id="2" xr3:uid="{06E752B1-C935-47C9-B4C9-9E7CE12599A8}" name="FK" dataDxfId="29" dataCellStyle="Pourcentage"/>
    <tableColumn id="3" xr3:uid="{40343A3E-C9E7-40E4-BFE6-D724958A96B2}" name="PtL-grid" dataDxfId="28" dataCellStyle="Pourcentage"/>
    <tableColumn id="4" xr3:uid="{5C07C5CE-B696-4CC3-A094-E1663770944B}" name="PtL-PV" dataDxfId="27" dataCellStyle="Pourcentage"/>
    <tableColumn id="5" xr3:uid="{E59E7F97-171A-464D-BE21-54723F9F73CF}" name="PtL-wind-onshore" dataDxfId="26" dataCellStyle="Pourcentage"/>
    <tableColumn id="6" xr3:uid="{49178884-95D6-43AE-8708-7AF3C3849996}" name="PtL-wind-offshore" dataDxfId="25" dataCellStyle="Pourcentage"/>
    <tableColumn id="7" xr3:uid="{72FFDBF2-C5DA-4F56-A859-86609AE4886D}" name="PtL-dedicated" dataDxfId="24" dataCellStyle="Pourcentage">
      <calculatedColumnFormula>(1/3)*D2+(1/3)*E2+(1/3)*F2</calculatedColumnFormula>
    </tableColumn>
    <tableColumn id="8" xr3:uid="{B7E20D6B-8C94-4946-8698-AC778E0E939B}" name="FT-residues" dataDxfId="23" dataCellStyle="Pourcentage"/>
    <tableColumn id="9" xr3:uid="{001CB757-EC65-4FDD-94C4-DADC3CA9E238}" name="FT-products" dataDxfId="22" dataCellStyle="Pourcentage"/>
    <tableColumn id="10" xr3:uid="{9D2F8DAF-D864-4452-8E49-8A46DFBE10F8}" name="HEFA-rapeseed" dataDxfId="21" dataCellStyle="Pourcentage"/>
    <tableColumn id="11" xr3:uid="{B5EAAA52-4E3F-4522-A047-1595D6937ECD}" name="Bio-FT" dataDxfId="20" dataCellStyle="Pourcentage">
      <calculatedColumnFormula>0.15*J2+0.425*I2+0.425*H2</calculatedColumnFormula>
    </tableColumn>
    <tableColumn id="12" xr3:uid="{9BFA7D24-9EF1-45A6-9C04-81BA8A9093F8}" name="Bio-HEFA" dataDxfId="19" dataCellStyle="Pourcentage">
      <calculatedColumnFormula>0.7*J2+0.15*I2+0.15*H2</calculatedColumnFormula>
    </tableColumn>
    <tableColumn id="13" xr3:uid="{B56DF633-9929-4A29-B5C5-9F757C21B5F3}" name="LH2" dataDxfId="18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E6184D-F3B4-4E1D-B0B5-2FACB21F5140}" name="Tableau8" displayName="Tableau8" ref="A1:M18" totalsRowShown="0" headerRowDxfId="17" dataDxfId="15" headerRowBorderDxfId="16" tableBorderDxfId="14" totalsRowBorderDxfId="13" dataCellStyle="Pourcentage">
  <autoFilter ref="A1:M18" xr:uid="{37E6184D-F3B4-4E1D-B0B5-2FACB21F5140}"/>
  <sortState xmlns:xlrd2="http://schemas.microsoft.com/office/spreadsheetml/2017/richdata2" ref="A2:M18">
    <sortCondition ref="A1:A18"/>
  </sortState>
  <tableColumns count="13">
    <tableColumn id="1" xr3:uid="{7A5D6AFF-1494-46A6-921D-84DDFF98D696}" name="Activity" dataDxfId="12"/>
    <tableColumn id="2" xr3:uid="{3FD06BEC-F4C0-446C-9255-D15A1135823D}" name="FK" dataDxfId="11" dataCellStyle="Pourcentage"/>
    <tableColumn id="3" xr3:uid="{7AA38C0A-582B-4BC7-B262-F63F0BE1EE9B}" name="PtL-grid" dataDxfId="10" dataCellStyle="Pourcentage"/>
    <tableColumn id="4" xr3:uid="{03943FAF-BFC2-4E38-9071-43417A8543DB}" name="PtL-PV" dataDxfId="9" dataCellStyle="Pourcentage"/>
    <tableColumn id="5" xr3:uid="{C7B3D825-D495-4885-B6AA-335A0E6E0778}" name="PtL-wind-onshore" dataDxfId="8" dataCellStyle="Pourcentage"/>
    <tableColumn id="6" xr3:uid="{609A25B4-30F3-4119-A31A-8558EA935E8C}" name="PtL-wind-offshore" dataDxfId="7" dataCellStyle="Pourcentage"/>
    <tableColumn id="7" xr3:uid="{97FA791C-DC73-4A4D-A71E-3846C3AC436F}" name="PtL-dedicated" dataDxfId="6" dataCellStyle="Pourcentage">
      <calculatedColumnFormula>(1/3)*D2+(1/3)*E2+(1/3)*F2</calculatedColumnFormula>
    </tableColumn>
    <tableColumn id="8" xr3:uid="{ECB8C7D0-FDBE-45CA-9434-B5B92C4C3898}" name="FT-residues" dataDxfId="5" dataCellStyle="Pourcentage"/>
    <tableColumn id="9" xr3:uid="{C60976CB-E9BC-49AC-A2AB-134BAEF869EE}" name="FT-products" dataDxfId="4" dataCellStyle="Pourcentage"/>
    <tableColumn id="10" xr3:uid="{33512DE3-155E-4A8E-A26B-93A78256CF62}" name="HEFA-rapeseed" dataDxfId="3" dataCellStyle="Pourcentage"/>
    <tableColumn id="11" xr3:uid="{C63ECC75-CBF9-4C28-A945-3AA175CDB984}" name="Bio-FT" dataDxfId="2" dataCellStyle="Pourcentage">
      <calculatedColumnFormula>0.15*J2+0.425*I2+0.425*H2</calculatedColumnFormula>
    </tableColumn>
    <tableColumn id="12" xr3:uid="{C700E9C6-ED8F-445F-BA4A-F61BF5998D84}" name="Bio-HEFA" dataDxfId="1" dataCellStyle="Pourcentage">
      <calculatedColumnFormula>0.7*J2+0.15*I2+0.15*H2</calculatedColumnFormula>
    </tableColumn>
    <tableColumn id="13" xr3:uid="{3631E91B-9A29-4275-AC5F-A5284031514A}" name="LH2" dataDxfId="0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760C-BE41-4FAE-A1A8-5B9A8F016944}">
  <dimension ref="A9:B18"/>
  <sheetViews>
    <sheetView tabSelected="1" workbookViewId="0">
      <selection activeCell="G23" sqref="G23"/>
    </sheetView>
  </sheetViews>
  <sheetFormatPr baseColWidth="10" defaultRowHeight="15" x14ac:dyDescent="0.25"/>
  <cols>
    <col min="2" max="2" width="55.7109375" customWidth="1"/>
  </cols>
  <sheetData>
    <row r="9" spans="1:2" ht="15.75" thickBot="1" x14ac:dyDescent="0.3"/>
    <row r="10" spans="1:2" x14ac:dyDescent="0.25">
      <c r="A10" s="13" t="s">
        <v>32</v>
      </c>
      <c r="B10" s="14" t="s">
        <v>33</v>
      </c>
    </row>
    <row r="11" spans="1:2" ht="90" x14ac:dyDescent="0.25">
      <c r="A11" s="15" t="s">
        <v>41</v>
      </c>
      <c r="B11" s="16" t="s">
        <v>50</v>
      </c>
    </row>
    <row r="12" spans="1:2" x14ac:dyDescent="0.25">
      <c r="A12" s="15" t="s">
        <v>34</v>
      </c>
      <c r="B12" s="17" t="s">
        <v>42</v>
      </c>
    </row>
    <row r="13" spans="1:2" x14ac:dyDescent="0.25">
      <c r="A13" s="15" t="s">
        <v>35</v>
      </c>
      <c r="B13" s="17" t="s">
        <v>43</v>
      </c>
    </row>
    <row r="14" spans="1:2" x14ac:dyDescent="0.25">
      <c r="A14" s="15" t="s">
        <v>36</v>
      </c>
      <c r="B14" s="17" t="s">
        <v>44</v>
      </c>
    </row>
    <row r="15" spans="1:2" x14ac:dyDescent="0.25">
      <c r="A15" s="15" t="s">
        <v>37</v>
      </c>
      <c r="B15" s="17" t="s">
        <v>45</v>
      </c>
    </row>
    <row r="16" spans="1:2" x14ac:dyDescent="0.25">
      <c r="A16" s="15" t="s">
        <v>38</v>
      </c>
      <c r="B16" s="17" t="s">
        <v>46</v>
      </c>
    </row>
    <row r="17" spans="1:2" x14ac:dyDescent="0.25">
      <c r="A17" s="15" t="s">
        <v>39</v>
      </c>
      <c r="B17" s="17" t="s">
        <v>47</v>
      </c>
    </row>
    <row r="18" spans="1:2" ht="15.75" thickBot="1" x14ac:dyDescent="0.3">
      <c r="A18" s="18" t="s">
        <v>40</v>
      </c>
      <c r="B18" s="19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55" zoomScaleNormal="85" workbookViewId="0">
      <selection activeCell="B44" sqref="B44"/>
    </sheetView>
  </sheetViews>
  <sheetFormatPr baseColWidth="10" defaultColWidth="9.140625" defaultRowHeight="15" x14ac:dyDescent="0.25"/>
  <cols>
    <col min="1" max="1" width="64.28515625" customWidth="1"/>
    <col min="3" max="3" width="14.7109375" customWidth="1"/>
    <col min="4" max="4" width="12.85546875" customWidth="1"/>
    <col min="5" max="5" width="26.140625" customWidth="1"/>
    <col min="6" max="6" width="27.5703125" customWidth="1"/>
    <col min="7" max="7" width="21.42578125" customWidth="1"/>
    <col min="8" max="9" width="19.28515625" customWidth="1"/>
    <col min="10" max="10" width="23.28515625" customWidth="1"/>
    <col min="11" max="11" width="12.5703125" customWidth="1"/>
    <col min="12" max="12" width="16.14062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>
        <f>0.84</f>
        <v>0.84</v>
      </c>
      <c r="C2" s="2">
        <f>0.2</f>
        <v>0.2</v>
      </c>
      <c r="D2" s="2">
        <f>1.64</f>
        <v>1.64</v>
      </c>
      <c r="E2" s="2">
        <f>2.52</f>
        <v>2.52</v>
      </c>
      <c r="F2" s="2">
        <f>4.2</f>
        <v>4.2</v>
      </c>
      <c r="G2" s="2">
        <f t="shared" ref="G2:G17" si="0">(1/3)*D2+(1/3)*E2+(1/3)*F2</f>
        <v>2.7866666666666666</v>
      </c>
      <c r="H2" s="2">
        <f>4.31</f>
        <v>4.3099999999999996</v>
      </c>
      <c r="I2" s="2">
        <f>7.58</f>
        <v>7.58</v>
      </c>
      <c r="J2" s="2">
        <f>1.41</f>
        <v>1.41</v>
      </c>
      <c r="K2" s="2">
        <f t="shared" ref="K2:K17" si="1">0.15*J2+0.425*I2+0.425*H2</f>
        <v>5.2647499999999994</v>
      </c>
      <c r="L2" s="2">
        <f t="shared" ref="L2:L17" si="2">0.7*J2+0.15*I2+0.15*H2</f>
        <v>2.7704999999999997</v>
      </c>
      <c r="M2" s="4"/>
    </row>
    <row r="3" spans="1:13" x14ac:dyDescent="0.25">
      <c r="A3" s="3" t="s">
        <v>16</v>
      </c>
      <c r="B3" s="2"/>
      <c r="C3" s="2">
        <f>-0.0809</f>
        <v>-8.09E-2</v>
      </c>
      <c r="D3" s="2">
        <f>-1.49</f>
        <v>-1.49</v>
      </c>
      <c r="E3" s="2">
        <f>-2.38</f>
        <v>-2.38</v>
      </c>
      <c r="F3" s="2">
        <f>-4.05</f>
        <v>-4.05</v>
      </c>
      <c r="G3" s="2">
        <f t="shared" si="0"/>
        <v>-2.6399999999999997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>
        <f>0.862</f>
        <v>0.86199999999999999</v>
      </c>
      <c r="D4" s="2"/>
      <c r="E4" s="2"/>
      <c r="F4" s="2"/>
      <c r="G4" s="2">
        <f t="shared" si="0"/>
        <v>0</v>
      </c>
      <c r="H4" s="2"/>
      <c r="I4" s="2"/>
      <c r="J4" s="2">
        <f>0.599</f>
        <v>0.59899999999999998</v>
      </c>
      <c r="K4" s="2">
        <f t="shared" si="1"/>
        <v>8.9849999999999999E-2</v>
      </c>
      <c r="L4" s="2">
        <f t="shared" si="2"/>
        <v>0.41929999999999995</v>
      </c>
      <c r="M4" s="4">
        <f>0.819</f>
        <v>0.81899999999999995</v>
      </c>
    </row>
    <row r="5" spans="1:13" x14ac:dyDescent="0.25">
      <c r="A5" s="3" t="s">
        <v>23</v>
      </c>
      <c r="B5" s="2"/>
      <c r="C5" s="2"/>
      <c r="D5" s="2">
        <f>0.712</f>
        <v>0.71199999999999997</v>
      </c>
      <c r="E5" s="2"/>
      <c r="F5" s="2"/>
      <c r="G5" s="2">
        <f t="shared" si="0"/>
        <v>0.23733333333333331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>
        <f>0.475</f>
        <v>0.47499999999999998</v>
      </c>
      <c r="G6" s="2">
        <f t="shared" si="0"/>
        <v>0.15833333333333333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>
        <f>0.64</f>
        <v>0.64</v>
      </c>
      <c r="F7" s="2"/>
      <c r="G7" s="2">
        <f t="shared" si="0"/>
        <v>0.21333333333333332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-1.04</f>
        <v>-1.04</v>
      </c>
      <c r="K8" s="2">
        <f t="shared" si="1"/>
        <v>-0.156</v>
      </c>
      <c r="L8" s="2">
        <f t="shared" si="2"/>
        <v>-0.72799999999999998</v>
      </c>
      <c r="M8" s="4"/>
    </row>
    <row r="9" spans="1:13" x14ac:dyDescent="0.25">
      <c r="A9" s="3" t="s">
        <v>27</v>
      </c>
      <c r="B9" s="2"/>
      <c r="C9" s="2">
        <f>0.01</f>
        <v>0.01</v>
      </c>
      <c r="D9" s="2">
        <f>0.11</f>
        <v>0.11</v>
      </c>
      <c r="E9" s="2">
        <f>0.18</f>
        <v>0.18</v>
      </c>
      <c r="F9" s="2">
        <f>0.29</f>
        <v>0.28999999999999998</v>
      </c>
      <c r="G9" s="2">
        <f t="shared" si="0"/>
        <v>0.1933333333333333</v>
      </c>
      <c r="H9" s="2">
        <f>0.55</f>
        <v>0.55000000000000004</v>
      </c>
      <c r="I9" s="2">
        <f>0.8</f>
        <v>0.8</v>
      </c>
      <c r="J9" s="2"/>
      <c r="K9" s="2">
        <f t="shared" si="1"/>
        <v>0.57374999999999998</v>
      </c>
      <c r="L9" s="2">
        <f t="shared" si="2"/>
        <v>0.20250000000000001</v>
      </c>
      <c r="M9" s="4"/>
    </row>
    <row r="10" spans="1:13" x14ac:dyDescent="0.25">
      <c r="A10" s="3" t="s">
        <v>29</v>
      </c>
      <c r="B10" s="2"/>
      <c r="C10" s="2"/>
      <c r="D10" s="2"/>
      <c r="E10" s="2"/>
      <c r="F10" s="2"/>
      <c r="G10" s="2">
        <f t="shared" si="0"/>
        <v>0</v>
      </c>
      <c r="H10" s="2"/>
      <c r="I10" s="2"/>
      <c r="J10" s="2"/>
      <c r="K10" s="2">
        <f t="shared" si="1"/>
        <v>0</v>
      </c>
      <c r="L10" s="2">
        <f t="shared" si="2"/>
        <v>0</v>
      </c>
      <c r="M10" s="4"/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>
        <f>0.03</f>
        <v>0.03</v>
      </c>
      <c r="K11" s="2">
        <f t="shared" si="1"/>
        <v>4.4999999999999997E-3</v>
      </c>
      <c r="L11" s="2">
        <f t="shared" si="2"/>
        <v>2.0999999999999998E-2</v>
      </c>
      <c r="M11" s="4"/>
    </row>
    <row r="12" spans="1:13" x14ac:dyDescent="0.25">
      <c r="A12" s="3" t="s">
        <v>14</v>
      </c>
      <c r="B12" s="1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26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f>0.171+0.01</f>
        <v>0.18100000000000002</v>
      </c>
    </row>
    <row r="14" spans="1:13" x14ac:dyDescent="0.25">
      <c r="A14" s="3" t="s">
        <v>17</v>
      </c>
      <c r="B14" s="2">
        <f>0.155</f>
        <v>0.155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-3.88</f>
        <v>-3.88</v>
      </c>
      <c r="I15" s="2"/>
      <c r="J15" s="2"/>
      <c r="K15" s="2">
        <f t="shared" si="1"/>
        <v>-1.649</v>
      </c>
      <c r="L15" s="2">
        <f t="shared" si="2"/>
        <v>-0.58199999999999996</v>
      </c>
      <c r="M15" s="4"/>
    </row>
    <row r="16" spans="1:13" x14ac:dyDescent="0.25">
      <c r="A16" s="3" t="s">
        <v>31</v>
      </c>
      <c r="B16" s="2"/>
      <c r="C16" s="2"/>
      <c r="D16" s="2"/>
      <c r="E16" s="2"/>
      <c r="F16" s="2"/>
      <c r="G16" s="2">
        <f t="shared" si="0"/>
        <v>0</v>
      </c>
      <c r="H16" s="2"/>
      <c r="I16" s="2"/>
      <c r="J16" s="2"/>
      <c r="K16" s="2">
        <f t="shared" si="1"/>
        <v>0</v>
      </c>
      <c r="L16" s="2">
        <f t="shared" si="2"/>
        <v>0</v>
      </c>
      <c r="M16" s="4"/>
    </row>
    <row r="17" spans="1:13" x14ac:dyDescent="0.25">
      <c r="A17" s="10" t="s">
        <v>15</v>
      </c>
      <c r="B17" s="8"/>
      <c r="C17" s="8"/>
      <c r="D17" s="8"/>
      <c r="E17" s="8"/>
      <c r="F17" s="8"/>
      <c r="G17" s="8">
        <f t="shared" si="0"/>
        <v>0</v>
      </c>
      <c r="H17" s="8"/>
      <c r="I17" s="8">
        <f>-7.41</f>
        <v>-7.41</v>
      </c>
      <c r="J17" s="8"/>
      <c r="K17" s="8">
        <f t="shared" si="1"/>
        <v>-3.1492499999999999</v>
      </c>
      <c r="L17" s="8">
        <f t="shared" si="2"/>
        <v>-1.1114999999999999</v>
      </c>
      <c r="M17" s="9"/>
    </row>
    <row r="18" spans="1:13" x14ac:dyDescent="0.25">
      <c r="A18" s="1" t="s">
        <v>49</v>
      </c>
      <c r="B18" s="2">
        <f>1-SUM(Tableau2[FK])</f>
        <v>5.0000000000000044E-3</v>
      </c>
      <c r="C18" s="2">
        <f>1-SUM(Tableau2[PtL-grid])</f>
        <v>8.900000000000019E-3</v>
      </c>
      <c r="D18" s="2">
        <f>1-SUM(Tableau2[PtL-PV])</f>
        <v>2.8000000000000136E-2</v>
      </c>
      <c r="E18" s="2">
        <f>1-SUM(Tableau2[PtL-wind-onshore])</f>
        <v>3.9999999999999813E-2</v>
      </c>
      <c r="F18" s="2">
        <f>1-SUM(Tableau2[PtL-wind-offshore])</f>
        <v>8.4999999999999742E-2</v>
      </c>
      <c r="G18" s="2">
        <f>1-SUM(Tableau2[PtL-dedicated])</f>
        <v>5.0999999999999712E-2</v>
      </c>
      <c r="H18" s="2">
        <f>1-SUM(Tableau2[FT-residues])</f>
        <v>2.0000000000000462E-2</v>
      </c>
      <c r="I18" s="2">
        <f>1-SUM(Tableau2[FT-products])</f>
        <v>2.9999999999999361E-2</v>
      </c>
      <c r="J18" s="2">
        <f>1-SUM(Tableau2[HEFA-rapeseed])</f>
        <v>1.0000000000001119E-3</v>
      </c>
      <c r="K18" s="2">
        <f>1-SUM(Tableau2[Bio-FT])</f>
        <v>2.1400000000000308E-2</v>
      </c>
      <c r="L18" s="2">
        <f>1-SUM(Tableau2[Bio-HEFA])</f>
        <v>8.2000000000004292E-3</v>
      </c>
      <c r="M18" s="2">
        <f>1-SUM(Tableau2[LH2])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1868-C0F3-4561-BC19-14132ED10956}">
  <dimension ref="A1:M19"/>
  <sheetViews>
    <sheetView zoomScale="70" workbookViewId="0">
      <selection activeCell="A20" sqref="A20"/>
    </sheetView>
  </sheetViews>
  <sheetFormatPr baseColWidth="10" defaultColWidth="11.42578125" defaultRowHeight="15" x14ac:dyDescent="0.25"/>
  <cols>
    <col min="1" max="1" width="37.28515625" style="21" bestFit="1" customWidth="1"/>
    <col min="2" max="2" width="11.42578125" style="21" bestFit="1" customWidth="1"/>
    <col min="3" max="3" width="12.85546875" style="21" customWidth="1"/>
    <col min="4" max="4" width="11.85546875" style="21" customWidth="1"/>
    <col min="5" max="5" width="24.140625" style="21" customWidth="1"/>
    <col min="6" max="6" width="24.28515625" style="21" customWidth="1"/>
    <col min="7" max="7" width="20" style="21" customWidth="1"/>
    <col min="8" max="8" width="17.140625" style="21" customWidth="1"/>
    <col min="9" max="9" width="17.5703125" style="21" customWidth="1"/>
    <col min="10" max="10" width="21.42578125" style="21" customWidth="1"/>
    <col min="11" max="11" width="11.28515625" style="21" customWidth="1"/>
    <col min="12" max="12" width="14.42578125" style="21" customWidth="1"/>
    <col min="13" max="16384" width="11.42578125" style="21"/>
  </cols>
  <sheetData>
    <row r="1" spans="1:13" s="20" customFormat="1" x14ac:dyDescent="0.25">
      <c r="A1" s="20" t="s">
        <v>12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</row>
    <row r="2" spans="1:13" s="11" customFormat="1" x14ac:dyDescent="0.25">
      <c r="A2" s="21" t="s">
        <v>19</v>
      </c>
      <c r="B2" s="11">
        <f>0.77</f>
        <v>0.77</v>
      </c>
      <c r="C2" s="11">
        <f>0.16</f>
        <v>0.16</v>
      </c>
      <c r="D2" s="11">
        <f>0.53</f>
        <v>0.53</v>
      </c>
      <c r="E2" s="11">
        <f>1.9</f>
        <v>1.9</v>
      </c>
      <c r="F2" s="11">
        <f>3.5</f>
        <v>3.5</v>
      </c>
      <c r="G2" s="11">
        <f t="shared" ref="G2:G18" si="0">(1/3)*D2+(1/3)*E2+(1/3)*F2</f>
        <v>1.9766666666666666</v>
      </c>
      <c r="H2" s="11">
        <f>3.04</f>
        <v>3.04</v>
      </c>
      <c r="I2" s="11">
        <f>0.6</f>
        <v>0.6</v>
      </c>
      <c r="J2" s="11">
        <f>0.1</f>
        <v>0.1</v>
      </c>
      <c r="K2" s="11">
        <f t="shared" ref="K2:K18" si="1">0.15*J2+0.425*I2+0.425*H2</f>
        <v>1.5620000000000001</v>
      </c>
      <c r="L2" s="11">
        <f t="shared" ref="L2:L18" si="2">0.7*J2+0.15*I2+0.15*H2</f>
        <v>0.61599999999999988</v>
      </c>
    </row>
    <row r="3" spans="1:13" s="11" customFormat="1" x14ac:dyDescent="0.25">
      <c r="A3" s="21" t="s">
        <v>16</v>
      </c>
      <c r="C3" s="11">
        <f>-0.04</f>
        <v>-0.04</v>
      </c>
      <c r="D3" s="11">
        <f>-0.399</f>
        <v>-0.39900000000000002</v>
      </c>
      <c r="E3" s="11">
        <f>-1.75</f>
        <v>-1.75</v>
      </c>
      <c r="F3" s="11">
        <f>-3.33</f>
        <v>-3.33</v>
      </c>
      <c r="G3" s="11">
        <f t="shared" si="0"/>
        <v>-1.8263333333333331</v>
      </c>
      <c r="K3" s="11">
        <f t="shared" si="1"/>
        <v>0</v>
      </c>
      <c r="L3" s="11">
        <f t="shared" si="2"/>
        <v>0</v>
      </c>
    </row>
    <row r="4" spans="1:13" s="11" customFormat="1" x14ac:dyDescent="0.25">
      <c r="A4" s="21" t="s">
        <v>22</v>
      </c>
      <c r="C4" s="11">
        <f>0.865</f>
        <v>0.86499999999999999</v>
      </c>
      <c r="G4" s="11">
        <f t="shared" si="0"/>
        <v>0</v>
      </c>
      <c r="J4" s="11">
        <f>0.0503</f>
        <v>5.0299999999999997E-2</v>
      </c>
      <c r="K4" s="11">
        <f t="shared" si="1"/>
        <v>7.5449999999999996E-3</v>
      </c>
      <c r="L4" s="11">
        <f t="shared" si="2"/>
        <v>3.5209999999999998E-2</v>
      </c>
      <c r="M4" s="11">
        <f>0.82</f>
        <v>0.82</v>
      </c>
    </row>
    <row r="5" spans="1:13" s="11" customFormat="1" x14ac:dyDescent="0.25">
      <c r="A5" s="21" t="s">
        <v>23</v>
      </c>
      <c r="D5" s="11">
        <f>0.823</f>
        <v>0.82299999999999995</v>
      </c>
      <c r="G5" s="11">
        <f t="shared" si="0"/>
        <v>0.27433333333333332</v>
      </c>
      <c r="K5" s="11">
        <f t="shared" si="1"/>
        <v>0</v>
      </c>
      <c r="L5" s="11">
        <f t="shared" si="2"/>
        <v>0</v>
      </c>
    </row>
    <row r="6" spans="1:13" s="11" customFormat="1" x14ac:dyDescent="0.25">
      <c r="A6" s="21" t="s">
        <v>25</v>
      </c>
      <c r="F6" s="11">
        <f>0.499</f>
        <v>0.499</v>
      </c>
      <c r="G6" s="11">
        <f t="shared" si="0"/>
        <v>0.16633333333333333</v>
      </c>
      <c r="K6" s="11">
        <f t="shared" si="1"/>
        <v>0</v>
      </c>
      <c r="L6" s="11">
        <f t="shared" si="2"/>
        <v>0</v>
      </c>
    </row>
    <row r="7" spans="1:13" s="11" customFormat="1" x14ac:dyDescent="0.25">
      <c r="A7" s="21" t="s">
        <v>24</v>
      </c>
      <c r="E7" s="11">
        <f>0.676</f>
        <v>0.67600000000000005</v>
      </c>
      <c r="G7" s="11">
        <f t="shared" si="0"/>
        <v>0.22533333333333333</v>
      </c>
      <c r="K7" s="11">
        <f t="shared" si="1"/>
        <v>0</v>
      </c>
      <c r="L7" s="11">
        <f t="shared" si="2"/>
        <v>0</v>
      </c>
    </row>
    <row r="8" spans="1:13" s="11" customFormat="1" x14ac:dyDescent="0.25">
      <c r="A8" s="21" t="s">
        <v>21</v>
      </c>
      <c r="G8" s="11">
        <f t="shared" si="0"/>
        <v>0</v>
      </c>
      <c r="J8" s="11">
        <f>0.852</f>
        <v>0.85199999999999998</v>
      </c>
      <c r="K8" s="11">
        <f t="shared" si="1"/>
        <v>0.1278</v>
      </c>
      <c r="L8" s="11">
        <f t="shared" si="2"/>
        <v>0.59639999999999993</v>
      </c>
    </row>
    <row r="9" spans="1:13" s="11" customFormat="1" x14ac:dyDescent="0.25">
      <c r="A9" s="21" t="s">
        <v>27</v>
      </c>
      <c r="C9" s="11">
        <f>0.01</f>
        <v>0.01</v>
      </c>
      <c r="D9" s="11">
        <f>0.04</f>
        <v>0.04</v>
      </c>
      <c r="E9" s="11">
        <f>0.13</f>
        <v>0.13</v>
      </c>
      <c r="F9" s="11">
        <f>0.24</f>
        <v>0.24</v>
      </c>
      <c r="G9" s="11">
        <f t="shared" si="0"/>
        <v>0.13666666666666666</v>
      </c>
      <c r="H9" s="11">
        <f>0.39</f>
        <v>0.39</v>
      </c>
      <c r="I9" s="11">
        <f>0.06</f>
        <v>0.06</v>
      </c>
      <c r="K9" s="11">
        <f t="shared" si="1"/>
        <v>0.19125</v>
      </c>
      <c r="L9" s="11">
        <f t="shared" si="2"/>
        <v>6.7499999999999991E-2</v>
      </c>
    </row>
    <row r="10" spans="1:13" s="11" customFormat="1" x14ac:dyDescent="0.25">
      <c r="A10" s="21" t="s">
        <v>29</v>
      </c>
      <c r="G10" s="11">
        <f t="shared" si="0"/>
        <v>0</v>
      </c>
      <c r="K10" s="11">
        <f t="shared" si="1"/>
        <v>0</v>
      </c>
      <c r="L10" s="11">
        <f t="shared" si="2"/>
        <v>0</v>
      </c>
    </row>
    <row r="11" spans="1:13" s="11" customFormat="1" x14ac:dyDescent="0.25">
      <c r="A11" s="21" t="s">
        <v>28</v>
      </c>
      <c r="G11" s="11">
        <f t="shared" si="0"/>
        <v>0</v>
      </c>
      <c r="K11" s="11">
        <f t="shared" si="1"/>
        <v>0</v>
      </c>
      <c r="L11" s="11">
        <f t="shared" si="2"/>
        <v>0</v>
      </c>
    </row>
    <row r="12" spans="1:13" s="11" customFormat="1" x14ac:dyDescent="0.25">
      <c r="A12" s="21" t="s">
        <v>14</v>
      </c>
      <c r="G12" s="11">
        <f t="shared" si="0"/>
        <v>0</v>
      </c>
      <c r="K12" s="11">
        <f t="shared" si="1"/>
        <v>0</v>
      </c>
      <c r="L12" s="11">
        <f t="shared" si="2"/>
        <v>0</v>
      </c>
    </row>
    <row r="13" spans="1:13" s="11" customFormat="1" x14ac:dyDescent="0.25">
      <c r="A13" s="21" t="s">
        <v>26</v>
      </c>
      <c r="G13" s="11">
        <f t="shared" si="0"/>
        <v>0</v>
      </c>
      <c r="K13" s="11">
        <f t="shared" si="1"/>
        <v>0</v>
      </c>
      <c r="L13" s="11">
        <f t="shared" si="2"/>
        <v>0</v>
      </c>
      <c r="M13" s="11">
        <f>0.171+0.01</f>
        <v>0.18100000000000002</v>
      </c>
    </row>
    <row r="14" spans="1:13" s="11" customFormat="1" x14ac:dyDescent="0.25">
      <c r="A14" s="21" t="s">
        <v>17</v>
      </c>
      <c r="B14" s="11">
        <f>0.225</f>
        <v>0.22500000000000001</v>
      </c>
      <c r="G14" s="11">
        <f t="shared" si="0"/>
        <v>0</v>
      </c>
      <c r="K14" s="11">
        <f t="shared" si="1"/>
        <v>0</v>
      </c>
      <c r="L14" s="11">
        <f t="shared" si="2"/>
        <v>0</v>
      </c>
    </row>
    <row r="15" spans="1:13" s="11" customFormat="1" x14ac:dyDescent="0.25">
      <c r="A15" s="21" t="s">
        <v>20</v>
      </c>
      <c r="G15" s="11">
        <f t="shared" si="0"/>
        <v>0</v>
      </c>
      <c r="H15" s="11">
        <f>-2.45</f>
        <v>-2.4500000000000002</v>
      </c>
      <c r="K15" s="11">
        <f t="shared" si="1"/>
        <v>-1.04125</v>
      </c>
      <c r="L15" s="11">
        <f t="shared" si="2"/>
        <v>-0.36749999999999999</v>
      </c>
    </row>
    <row r="16" spans="1:13" s="11" customFormat="1" x14ac:dyDescent="0.25">
      <c r="A16" s="21" t="s">
        <v>31</v>
      </c>
      <c r="G16" s="11">
        <f t="shared" si="0"/>
        <v>0</v>
      </c>
      <c r="K16" s="11">
        <f t="shared" si="1"/>
        <v>0</v>
      </c>
      <c r="L16" s="11">
        <f t="shared" si="2"/>
        <v>0</v>
      </c>
    </row>
    <row r="17" spans="1:13" s="11" customFormat="1" x14ac:dyDescent="0.25">
      <c r="A17" s="21" t="s">
        <v>15</v>
      </c>
      <c r="G17" s="11">
        <f t="shared" si="0"/>
        <v>0</v>
      </c>
      <c r="I17" s="11">
        <f>0.335</f>
        <v>0.33500000000000002</v>
      </c>
      <c r="K17" s="11">
        <f t="shared" si="1"/>
        <v>0.142375</v>
      </c>
      <c r="L17" s="11">
        <f t="shared" si="2"/>
        <v>5.0250000000000003E-2</v>
      </c>
    </row>
    <row r="18" spans="1:13" s="11" customFormat="1" x14ac:dyDescent="0.25">
      <c r="A18" s="21" t="s">
        <v>13</v>
      </c>
      <c r="G18" s="11">
        <f t="shared" si="0"/>
        <v>0</v>
      </c>
      <c r="K18" s="11">
        <f t="shared" si="1"/>
        <v>0</v>
      </c>
      <c r="L18" s="11">
        <f t="shared" si="2"/>
        <v>0</v>
      </c>
    </row>
    <row r="19" spans="1:13" x14ac:dyDescent="0.25">
      <c r="A19" s="21" t="s">
        <v>49</v>
      </c>
      <c r="B19" s="11">
        <f>1-SUM(Tableau3[FK])</f>
        <v>5.0000000000000044E-3</v>
      </c>
      <c r="C19" s="11">
        <f>1-SUM(Tableau3[PtL-grid])</f>
        <v>5.0000000000000044E-3</v>
      </c>
      <c r="D19" s="11">
        <f>1-SUM(Tableau3[PtL-PV])</f>
        <v>6.0000000000000053E-3</v>
      </c>
      <c r="E19" s="11">
        <f>1-SUM(Tableau3[PtL-wind-onshore])</f>
        <v>4.4000000000000039E-2</v>
      </c>
      <c r="F19" s="11">
        <f>1-SUM(Tableau3[PtL-wind-offshore])</f>
        <v>9.1000000000000081E-2</v>
      </c>
      <c r="G19" s="11">
        <f>1-SUM(Tableau3[PtL-dedicated])</f>
        <v>4.6999999999999931E-2</v>
      </c>
      <c r="H19" s="11">
        <f>1-SUM(Tableau3[FT-residues])</f>
        <v>2.0000000000000018E-2</v>
      </c>
      <c r="I19" s="11">
        <f>1-SUM(Tableau3[FT-products])</f>
        <v>5.0000000000001155E-3</v>
      </c>
      <c r="J19" s="11">
        <f>1-SUM(Tableau3[HEFA-rapeseed])</f>
        <v>-2.2999999999999687E-3</v>
      </c>
      <c r="K19" s="11">
        <f>1-SUM(Tableau3[Bio-FT])</f>
        <v>1.0280000000000178E-2</v>
      </c>
      <c r="L19" s="11">
        <f>1-SUM(Tableau3[Bio-HEFA])</f>
        <v>2.1400000000001418E-3</v>
      </c>
      <c r="M19" s="11">
        <f>1-SUM(Tableau3[LH2])</f>
        <v>-9.9999999999988987E-4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16CB-12E8-445B-8812-5316D9342D63}">
  <dimension ref="A1:M19"/>
  <sheetViews>
    <sheetView zoomScale="54" zoomScaleNormal="70" workbookViewId="0">
      <selection activeCell="E45" sqref="E45"/>
    </sheetView>
  </sheetViews>
  <sheetFormatPr baseColWidth="10" defaultRowHeight="15" x14ac:dyDescent="0.25"/>
  <cols>
    <col min="1" max="1" width="44.5703125" bestFit="1" customWidth="1"/>
    <col min="3" max="3" width="13.7109375" customWidth="1"/>
    <col min="4" max="4" width="12.140625" customWidth="1"/>
    <col min="5" max="5" width="24.85546875" customWidth="1"/>
    <col min="6" max="6" width="25.7109375" customWidth="1"/>
    <col min="7" max="7" width="20.5703125" customWidth="1"/>
    <col min="8" max="8" width="18" customWidth="1"/>
    <col min="9" max="9" width="18.7109375" customWidth="1"/>
    <col min="10" max="10" width="22.28515625" customWidth="1"/>
    <col min="11" max="11" width="12.140625" customWidth="1"/>
    <col min="12" max="12" width="15.570312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/>
      <c r="C2" s="2"/>
      <c r="D2" s="2"/>
      <c r="E2" s="2"/>
      <c r="F2" s="2"/>
      <c r="G2" s="2">
        <f t="shared" ref="G2:G18" si="0">(1/3)*D2+(1/3)*E2+(1/3)*F2</f>
        <v>0</v>
      </c>
      <c r="H2" s="2"/>
      <c r="I2" s="2"/>
      <c r="J2" s="2"/>
      <c r="K2" s="2">
        <f t="shared" ref="K2:K18" si="1">0.15*J2+0.425*I2+0.425*H2</f>
        <v>0</v>
      </c>
      <c r="L2" s="2">
        <f t="shared" ref="L2:L18" si="2">0.7*J2+0.15*I2+0.15*H2</f>
        <v>0</v>
      </c>
      <c r="M2" s="4"/>
    </row>
    <row r="3" spans="1:13" x14ac:dyDescent="0.25">
      <c r="A3" s="3" t="s">
        <v>16</v>
      </c>
      <c r="B3" s="2"/>
      <c r="C3" s="2">
        <f>0.126</f>
        <v>0.126</v>
      </c>
      <c r="D3" s="2">
        <f>0.119</f>
        <v>0.11899999999999999</v>
      </c>
      <c r="E3" s="2">
        <f>0.123</f>
        <v>0.123</v>
      </c>
      <c r="F3" s="2">
        <f>0.124</f>
        <v>0.124</v>
      </c>
      <c r="G3" s="2">
        <f t="shared" si="0"/>
        <v>0.122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>
        <f>0.859</f>
        <v>0.85899999999999999</v>
      </c>
      <c r="D4" s="2"/>
      <c r="E4" s="2"/>
      <c r="F4" s="2"/>
      <c r="G4" s="2">
        <f t="shared" si="0"/>
        <v>0</v>
      </c>
      <c r="H4" s="2"/>
      <c r="I4" s="2"/>
      <c r="J4" s="2">
        <f>0.064</f>
        <v>6.4000000000000001E-2</v>
      </c>
      <c r="K4" s="2">
        <f t="shared" si="1"/>
        <v>9.5999999999999992E-3</v>
      </c>
      <c r="L4" s="2">
        <f t="shared" si="2"/>
        <v>4.48E-2</v>
      </c>
      <c r="M4" s="4">
        <f>0.827</f>
        <v>0.82699999999999996</v>
      </c>
    </row>
    <row r="5" spans="1:13" x14ac:dyDescent="0.25">
      <c r="A5" s="3" t="s">
        <v>23</v>
      </c>
      <c r="B5" s="2"/>
      <c r="C5" s="2"/>
      <c r="D5" s="2">
        <f>0.874</f>
        <v>0.874</v>
      </c>
      <c r="E5" s="2"/>
      <c r="F5" s="2"/>
      <c r="G5" s="2">
        <f t="shared" si="0"/>
        <v>0.29133333333333333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>
        <f>0.851</f>
        <v>0.85099999999999998</v>
      </c>
      <c r="G6" s="2">
        <f t="shared" si="0"/>
        <v>0.28366666666666662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>
        <f>0.857</f>
        <v>0.85699999999999998</v>
      </c>
      <c r="F7" s="2"/>
      <c r="G7" s="2">
        <f t="shared" si="0"/>
        <v>0.28566666666666662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0.924</f>
        <v>0.92400000000000004</v>
      </c>
      <c r="K8" s="2">
        <f t="shared" si="1"/>
        <v>0.1386</v>
      </c>
      <c r="L8" s="2">
        <f t="shared" si="2"/>
        <v>0.64680000000000004</v>
      </c>
      <c r="M8" s="4"/>
    </row>
    <row r="9" spans="1:13" x14ac:dyDescent="0.25">
      <c r="A9" s="3" t="s">
        <v>27</v>
      </c>
      <c r="B9" s="2"/>
      <c r="C9" s="2"/>
      <c r="D9" s="2"/>
      <c r="E9" s="2"/>
      <c r="F9" s="2"/>
      <c r="G9" s="2">
        <f t="shared" si="0"/>
        <v>0</v>
      </c>
      <c r="H9" s="2"/>
      <c r="I9" s="2"/>
      <c r="J9" s="2"/>
      <c r="K9" s="2">
        <f t="shared" si="1"/>
        <v>0</v>
      </c>
      <c r="L9" s="2">
        <f t="shared" si="2"/>
        <v>0</v>
      </c>
      <c r="M9" s="4"/>
    </row>
    <row r="10" spans="1:13" x14ac:dyDescent="0.25">
      <c r="A10" s="3" t="s">
        <v>29</v>
      </c>
      <c r="B10" s="2"/>
      <c r="C10" s="2"/>
      <c r="D10" s="2"/>
      <c r="E10" s="2"/>
      <c r="F10" s="2"/>
      <c r="G10" s="2">
        <f t="shared" si="0"/>
        <v>0</v>
      </c>
      <c r="H10" s="2"/>
      <c r="I10" s="2"/>
      <c r="J10" s="2"/>
      <c r="K10" s="2">
        <f t="shared" si="1"/>
        <v>0</v>
      </c>
      <c r="L10" s="2">
        <f t="shared" si="2"/>
        <v>0</v>
      </c>
      <c r="M10" s="4"/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/>
      <c r="K11" s="2">
        <f t="shared" si="1"/>
        <v>0</v>
      </c>
      <c r="L11" s="2">
        <f t="shared" si="2"/>
        <v>0</v>
      </c>
      <c r="M11" s="4"/>
    </row>
    <row r="12" spans="1:13" x14ac:dyDescent="0.25">
      <c r="A12" s="3" t="s">
        <v>14</v>
      </c>
      <c r="B12" s="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26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f>0.169</f>
        <v>0.16900000000000001</v>
      </c>
    </row>
    <row r="14" spans="1:13" x14ac:dyDescent="0.25">
      <c r="A14" s="3" t="s">
        <v>17</v>
      </c>
      <c r="B14" s="2">
        <f>1</f>
        <v>1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0.716</f>
        <v>0.71599999999999997</v>
      </c>
      <c r="I15" s="2"/>
      <c r="J15" s="2"/>
      <c r="K15" s="2">
        <f t="shared" si="1"/>
        <v>0.30429999999999996</v>
      </c>
      <c r="L15" s="2">
        <f t="shared" si="2"/>
        <v>0.1074</v>
      </c>
      <c r="M15" s="4"/>
    </row>
    <row r="16" spans="1:13" x14ac:dyDescent="0.25">
      <c r="A16" s="3" t="s">
        <v>31</v>
      </c>
      <c r="B16" s="2"/>
      <c r="C16" s="2"/>
      <c r="D16" s="2"/>
      <c r="E16" s="2"/>
      <c r="F16" s="2"/>
      <c r="G16" s="2">
        <f t="shared" si="0"/>
        <v>0</v>
      </c>
      <c r="H16" s="2"/>
      <c r="I16" s="2"/>
      <c r="J16" s="2"/>
      <c r="K16" s="2">
        <f t="shared" si="1"/>
        <v>0</v>
      </c>
      <c r="L16" s="2">
        <f t="shared" si="2"/>
        <v>0</v>
      </c>
      <c r="M16" s="4"/>
    </row>
    <row r="17" spans="1:13" x14ac:dyDescent="0.25">
      <c r="A17" s="3" t="s">
        <v>15</v>
      </c>
      <c r="B17" s="2"/>
      <c r="C17" s="2"/>
      <c r="D17" s="2"/>
      <c r="E17" s="2"/>
      <c r="F17" s="2"/>
      <c r="G17" s="2">
        <f t="shared" si="0"/>
        <v>0</v>
      </c>
      <c r="H17" s="2"/>
      <c r="I17" s="2">
        <f>0.863</f>
        <v>0.86299999999999999</v>
      </c>
      <c r="J17" s="2"/>
      <c r="K17" s="2">
        <f t="shared" si="1"/>
        <v>0.36677499999999996</v>
      </c>
      <c r="L17" s="2">
        <f t="shared" si="2"/>
        <v>0.12944999999999998</v>
      </c>
      <c r="M17" s="4"/>
    </row>
    <row r="18" spans="1:13" x14ac:dyDescent="0.25">
      <c r="A18" s="10" t="s">
        <v>13</v>
      </c>
      <c r="B18" s="8"/>
      <c r="C18" s="8"/>
      <c r="D18" s="8"/>
      <c r="E18" s="8"/>
      <c r="F18" s="8"/>
      <c r="G18" s="8">
        <f t="shared" si="0"/>
        <v>0</v>
      </c>
      <c r="H18" s="8">
        <f>0.254</f>
        <v>0.254</v>
      </c>
      <c r="I18" s="8">
        <f>0.123</f>
        <v>0.123</v>
      </c>
      <c r="J18" s="8"/>
      <c r="K18" s="8">
        <f t="shared" si="1"/>
        <v>0.16022500000000001</v>
      </c>
      <c r="L18" s="8">
        <f t="shared" si="2"/>
        <v>5.6550000000000003E-2</v>
      </c>
      <c r="M18" s="9"/>
    </row>
    <row r="19" spans="1:13" x14ac:dyDescent="0.25">
      <c r="A19" s="1" t="s">
        <v>49</v>
      </c>
      <c r="B19" s="2">
        <f>1-SUM(Tableau4[FK])</f>
        <v>0</v>
      </c>
      <c r="C19" s="2">
        <f>1-SUM(Tableau4[PtL-grid])</f>
        <v>1.5000000000000013E-2</v>
      </c>
      <c r="D19" s="2">
        <f>1-SUM(Tableau4[PtL-PV])</f>
        <v>7.0000000000000062E-3</v>
      </c>
      <c r="E19" s="2">
        <f>1-SUM(Tableau4[PtL-wind-onshore])</f>
        <v>2.0000000000000018E-2</v>
      </c>
      <c r="F19" s="2">
        <f>1-SUM(Tableau4[PtL-wind-offshore])</f>
        <v>2.5000000000000022E-2</v>
      </c>
      <c r="G19" s="2">
        <f>1-SUM(Tableau4[PtL-dedicated])</f>
        <v>1.7333333333333423E-2</v>
      </c>
      <c r="H19" s="2">
        <f>1-SUM(Tableau4[FT-residues])</f>
        <v>3.0000000000000027E-2</v>
      </c>
      <c r="I19" s="2">
        <f>1-SUM(Tableau4[FT-products])</f>
        <v>1.4000000000000012E-2</v>
      </c>
      <c r="J19" s="2">
        <f>1-SUM(Tableau4[HEFA-rapeseed])</f>
        <v>1.2000000000000011E-2</v>
      </c>
      <c r="K19" s="2">
        <f>1-SUM(Tableau4[Bio-FT])</f>
        <v>2.0499999999999963E-2</v>
      </c>
      <c r="L19" s="2">
        <f>1-SUM(Tableau4[Bio-HEFA])</f>
        <v>1.5000000000000124E-2</v>
      </c>
      <c r="M19" s="2">
        <f>1-SUM(Tableau4[LH2])</f>
        <v>4.0000000000000036E-3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079D-FEEB-4D83-82C8-D74E375E2FDE}">
  <dimension ref="A1:M19"/>
  <sheetViews>
    <sheetView zoomScale="65" zoomScaleNormal="85" workbookViewId="0">
      <selection activeCell="F37" sqref="F37"/>
    </sheetView>
  </sheetViews>
  <sheetFormatPr baseColWidth="10" defaultRowHeight="15" x14ac:dyDescent="0.25"/>
  <cols>
    <col min="1" max="1" width="46.28515625" bestFit="1" customWidth="1"/>
    <col min="3" max="3" width="13.5703125" customWidth="1"/>
    <col min="4" max="4" width="12.5703125" customWidth="1"/>
    <col min="5" max="5" width="25.7109375" customWidth="1"/>
    <col min="6" max="6" width="26" customWidth="1"/>
    <col min="7" max="7" width="21.28515625" customWidth="1"/>
    <col min="8" max="8" width="18.28515625" customWidth="1"/>
    <col min="9" max="9" width="18.7109375" customWidth="1"/>
    <col min="10" max="10" width="22.85546875" customWidth="1"/>
    <col min="11" max="11" width="11.85546875" customWidth="1"/>
    <col min="12" max="12" width="15.4257812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/>
      <c r="C2" s="2"/>
      <c r="D2" s="2"/>
      <c r="E2" s="2"/>
      <c r="F2" s="2"/>
      <c r="G2" s="2">
        <f t="shared" ref="G2:G18" si="0">(1/3)*D2+(1/3)*E2+(1/3)*F2</f>
        <v>0</v>
      </c>
      <c r="H2" s="2"/>
      <c r="I2" s="2"/>
      <c r="J2" s="2"/>
      <c r="K2" s="2">
        <f t="shared" ref="K2:K18" si="1">0.15*J2+0.425*I2+0.425*H2</f>
        <v>0</v>
      </c>
      <c r="L2" s="2">
        <f t="shared" ref="L2:L18" si="2">0.7*J2+0.15*I2+0.15*H2</f>
        <v>0</v>
      </c>
      <c r="M2" s="4"/>
    </row>
    <row r="3" spans="1:13" x14ac:dyDescent="0.25">
      <c r="A3" s="3" t="s">
        <v>16</v>
      </c>
      <c r="B3" s="2"/>
      <c r="C3" s="2">
        <f>0.162</f>
        <v>0.16200000000000001</v>
      </c>
      <c r="D3" s="2">
        <f>0.121</f>
        <v>0.121</v>
      </c>
      <c r="E3" s="2">
        <f>0.124</f>
        <v>0.124</v>
      </c>
      <c r="F3" s="2">
        <f>0.138</f>
        <v>0.13800000000000001</v>
      </c>
      <c r="G3" s="2">
        <f t="shared" si="0"/>
        <v>0.12766666666666665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>
        <f>0.765</f>
        <v>0.76500000000000001</v>
      </c>
      <c r="D4" s="2"/>
      <c r="E4" s="2"/>
      <c r="F4" s="2"/>
      <c r="G4" s="2">
        <f t="shared" si="0"/>
        <v>0</v>
      </c>
      <c r="H4" s="2"/>
      <c r="I4" s="2"/>
      <c r="J4" s="2"/>
      <c r="K4" s="2">
        <f t="shared" si="1"/>
        <v>0</v>
      </c>
      <c r="L4" s="2">
        <f t="shared" si="2"/>
        <v>0</v>
      </c>
      <c r="M4" s="4">
        <f>0.706</f>
        <v>0.70599999999999996</v>
      </c>
    </row>
    <row r="5" spans="1:13" x14ac:dyDescent="0.25">
      <c r="A5" s="3" t="s">
        <v>23</v>
      </c>
      <c r="B5" s="2"/>
      <c r="C5" s="2"/>
      <c r="D5" s="2">
        <f>0.866</f>
        <v>0.86599999999999999</v>
      </c>
      <c r="E5" s="2"/>
      <c r="F5" s="2"/>
      <c r="G5" s="2">
        <f t="shared" si="0"/>
        <v>0.28866666666666663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>
        <f>0.723</f>
        <v>0.72299999999999998</v>
      </c>
      <c r="G6" s="2">
        <f t="shared" si="0"/>
        <v>0.24099999999999999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>
        <f>0.817</f>
        <v>0.81699999999999995</v>
      </c>
      <c r="F7" s="2"/>
      <c r="G7" s="2">
        <f t="shared" si="0"/>
        <v>0.27233333333333332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0.998</f>
        <v>0.998</v>
      </c>
      <c r="K8" s="2">
        <f t="shared" si="1"/>
        <v>0.1497</v>
      </c>
      <c r="L8" s="2">
        <f t="shared" si="2"/>
        <v>0.6986</v>
      </c>
      <c r="M8" s="4"/>
    </row>
    <row r="9" spans="1:13" x14ac:dyDescent="0.25">
      <c r="A9" s="3" t="s">
        <v>30</v>
      </c>
      <c r="B9" s="2"/>
      <c r="C9" s="2"/>
      <c r="D9" s="2"/>
      <c r="E9" s="2"/>
      <c r="F9" s="2"/>
      <c r="G9" s="2">
        <f t="shared" si="0"/>
        <v>0</v>
      </c>
      <c r="H9" s="2"/>
      <c r="I9" s="2"/>
      <c r="J9" s="2"/>
      <c r="K9" s="2">
        <f t="shared" si="1"/>
        <v>0</v>
      </c>
      <c r="L9" s="2">
        <f t="shared" si="2"/>
        <v>0</v>
      </c>
      <c r="M9" s="4"/>
    </row>
    <row r="10" spans="1:13" x14ac:dyDescent="0.25">
      <c r="A10" s="3" t="s">
        <v>29</v>
      </c>
      <c r="B10" s="2"/>
      <c r="C10" s="2"/>
      <c r="D10" s="2"/>
      <c r="E10" s="2"/>
      <c r="F10" s="2"/>
      <c r="G10" s="2">
        <f t="shared" si="0"/>
        <v>0</v>
      </c>
      <c r="H10" s="2"/>
      <c r="I10" s="2"/>
      <c r="J10" s="2"/>
      <c r="K10" s="2">
        <f t="shared" si="1"/>
        <v>0</v>
      </c>
      <c r="L10" s="2">
        <f t="shared" si="2"/>
        <v>0</v>
      </c>
      <c r="M10" s="4">
        <f>0.135</f>
        <v>0.13500000000000001</v>
      </c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/>
      <c r="K11" s="2">
        <f t="shared" si="1"/>
        <v>0</v>
      </c>
      <c r="L11" s="2">
        <f t="shared" si="2"/>
        <v>0</v>
      </c>
      <c r="M11" s="4"/>
    </row>
    <row r="12" spans="1:13" x14ac:dyDescent="0.25">
      <c r="A12" s="3" t="s">
        <v>14</v>
      </c>
      <c r="B12" s="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26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f>0.151</f>
        <v>0.151</v>
      </c>
    </row>
    <row r="14" spans="1:13" x14ac:dyDescent="0.25">
      <c r="A14" s="3" t="s">
        <v>17</v>
      </c>
      <c r="B14" s="2">
        <f>1</f>
        <v>1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0.923</f>
        <v>0.92300000000000004</v>
      </c>
      <c r="I15" s="2"/>
      <c r="J15" s="2"/>
      <c r="K15" s="2">
        <f t="shared" si="1"/>
        <v>0.39227499999999998</v>
      </c>
      <c r="L15" s="2">
        <f t="shared" si="2"/>
        <v>0.13844999999999999</v>
      </c>
      <c r="M15" s="4"/>
    </row>
    <row r="16" spans="1:13" x14ac:dyDescent="0.25">
      <c r="A16" s="3" t="s">
        <v>31</v>
      </c>
      <c r="B16" s="2"/>
      <c r="C16" s="2"/>
      <c r="D16" s="2"/>
      <c r="E16" s="2"/>
      <c r="F16" s="2"/>
      <c r="G16" s="2">
        <f t="shared" si="0"/>
        <v>0</v>
      </c>
      <c r="H16" s="2"/>
      <c r="I16" s="2"/>
      <c r="J16" s="2"/>
      <c r="K16" s="2">
        <f t="shared" si="1"/>
        <v>0</v>
      </c>
      <c r="L16" s="2">
        <f t="shared" si="2"/>
        <v>0</v>
      </c>
      <c r="M16" s="4"/>
    </row>
    <row r="17" spans="1:13" x14ac:dyDescent="0.25">
      <c r="A17" s="3" t="s">
        <v>15</v>
      </c>
      <c r="B17" s="2"/>
      <c r="C17" s="2"/>
      <c r="D17" s="2"/>
      <c r="E17" s="2"/>
      <c r="F17" s="2"/>
      <c r="G17" s="2">
        <f t="shared" si="0"/>
        <v>0</v>
      </c>
      <c r="H17" s="2"/>
      <c r="I17" s="2">
        <f>0.991</f>
        <v>0.99099999999999999</v>
      </c>
      <c r="J17" s="2"/>
      <c r="K17" s="2">
        <f t="shared" si="1"/>
        <v>0.42117499999999997</v>
      </c>
      <c r="L17" s="2">
        <f t="shared" si="2"/>
        <v>0.14865</v>
      </c>
      <c r="M17" s="4"/>
    </row>
    <row r="18" spans="1:13" x14ac:dyDescent="0.25">
      <c r="A18" s="10" t="s">
        <v>13</v>
      </c>
      <c r="B18" s="8"/>
      <c r="C18" s="8"/>
      <c r="D18" s="8"/>
      <c r="E18" s="8"/>
      <c r="F18" s="8"/>
      <c r="G18" s="8">
        <f t="shared" si="0"/>
        <v>0</v>
      </c>
      <c r="H18" s="8">
        <f>0.064</f>
        <v>6.4000000000000001E-2</v>
      </c>
      <c r="I18" s="8"/>
      <c r="J18" s="8"/>
      <c r="K18" s="8">
        <f t="shared" si="1"/>
        <v>2.7199999999999998E-2</v>
      </c>
      <c r="L18" s="8">
        <f t="shared" si="2"/>
        <v>9.5999999999999992E-3</v>
      </c>
      <c r="M18" s="9"/>
    </row>
    <row r="19" spans="1:13" x14ac:dyDescent="0.25">
      <c r="A19" s="1" t="s">
        <v>49</v>
      </c>
      <c r="B19" s="2">
        <f>1-SUM(Tableau5[FK])</f>
        <v>0</v>
      </c>
      <c r="C19" s="2">
        <f>1-SUM(Tableau5[PtL-grid])</f>
        <v>7.2999999999999954E-2</v>
      </c>
      <c r="D19" s="2">
        <f>1-SUM(Tableau5[PtL-PV])</f>
        <v>1.3000000000000012E-2</v>
      </c>
      <c r="E19" s="2">
        <f>1-SUM(Tableau5[PtL-wind-onshore])</f>
        <v>5.9000000000000052E-2</v>
      </c>
      <c r="F19" s="2">
        <f>1-SUM(Tableau5[PtL-wind-offshore])</f>
        <v>0.13900000000000001</v>
      </c>
      <c r="G19" s="2">
        <f>1-SUM(Tableau5[PtL-dedicated])</f>
        <v>7.0333333333333359E-2</v>
      </c>
      <c r="H19" s="2">
        <f>1-SUM(Tableau5[FT-residues])</f>
        <v>1.2999999999999901E-2</v>
      </c>
      <c r="I19" s="2">
        <f>1-SUM(Tableau5[FT-products])</f>
        <v>9.000000000000008E-3</v>
      </c>
      <c r="J19" s="2">
        <f>1-SUM(Tableau5[HEFA-rapeseed])</f>
        <v>2.0000000000000018E-3</v>
      </c>
      <c r="K19" s="2">
        <f>1-SUM(Tableau5[Bio-FT])</f>
        <v>9.6500000000000474E-3</v>
      </c>
      <c r="L19" s="2">
        <f>1-SUM(Tableau5[Bio-HEFA])</f>
        <v>4.6999999999999265E-3</v>
      </c>
      <c r="M19" s="2">
        <f>1-SUM(Tableau5[LH2])</f>
        <v>8.0000000000000071E-3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A554-F0BC-4963-8DB8-EF0542259A03}">
  <dimension ref="A1:M19"/>
  <sheetViews>
    <sheetView zoomScale="57" workbookViewId="0">
      <selection activeCell="P28" sqref="P28"/>
    </sheetView>
  </sheetViews>
  <sheetFormatPr baseColWidth="10" defaultRowHeight="15" x14ac:dyDescent="0.25"/>
  <cols>
    <col min="1" max="1" width="39.28515625" bestFit="1" customWidth="1"/>
    <col min="3" max="3" width="13" customWidth="1"/>
    <col min="4" max="4" width="11.5703125" customWidth="1"/>
    <col min="5" max="5" width="23.5703125" customWidth="1"/>
    <col min="6" max="6" width="24.28515625" customWidth="1"/>
    <col min="7" max="7" width="19.5703125" customWidth="1"/>
    <col min="8" max="8" width="17" customWidth="1"/>
    <col min="9" max="9" width="17.85546875" customWidth="1"/>
    <col min="10" max="10" width="21" customWidth="1"/>
    <col min="11" max="11" width="11.5703125" customWidth="1"/>
    <col min="12" max="12" width="14.8554687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/>
      <c r="C2" s="2"/>
      <c r="D2" s="2"/>
      <c r="E2" s="2"/>
      <c r="F2" s="2"/>
      <c r="G2" s="2">
        <f t="shared" ref="G2:G18" si="0">(1/3)*D2+(1/3)*E2+(1/3)*F2</f>
        <v>0</v>
      </c>
      <c r="H2" s="2"/>
      <c r="I2" s="2"/>
      <c r="J2" s="2"/>
      <c r="K2" s="2">
        <f t="shared" ref="K2:K18" si="1">0.15*J2+0.425*I2+0.425*H2</f>
        <v>0</v>
      </c>
      <c r="L2" s="2">
        <f t="shared" ref="L2:L18" si="2">0.7*J2+0.15*I2+0.15*H2</f>
        <v>0</v>
      </c>
      <c r="M2" s="4"/>
    </row>
    <row r="3" spans="1:13" x14ac:dyDescent="0.25">
      <c r="A3" s="3" t="s">
        <v>16</v>
      </c>
      <c r="B3" s="2"/>
      <c r="C3" s="2">
        <f>0.112</f>
        <v>0.112</v>
      </c>
      <c r="D3" s="2">
        <v>0.03</v>
      </c>
      <c r="E3" s="2">
        <f>0.38</f>
        <v>0.38</v>
      </c>
      <c r="F3" s="2">
        <f>0.0664</f>
        <v>6.6400000000000001E-2</v>
      </c>
      <c r="G3" s="2">
        <f t="shared" si="0"/>
        <v>0.1588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>
        <f>0.887</f>
        <v>0.88700000000000001</v>
      </c>
      <c r="D4" s="2"/>
      <c r="E4" s="2"/>
      <c r="F4" s="2"/>
      <c r="G4" s="2">
        <f t="shared" si="0"/>
        <v>0</v>
      </c>
      <c r="H4" s="2"/>
      <c r="I4" s="2"/>
      <c r="J4" s="2">
        <f>0.616</f>
        <v>0.61599999999999999</v>
      </c>
      <c r="K4" s="2">
        <f t="shared" si="1"/>
        <v>9.2399999999999996E-2</v>
      </c>
      <c r="L4" s="2">
        <f t="shared" si="2"/>
        <v>0.43119999999999997</v>
      </c>
      <c r="M4" s="4">
        <f>0.826</f>
        <v>0.82599999999999996</v>
      </c>
    </row>
    <row r="5" spans="1:13" x14ac:dyDescent="0.25">
      <c r="A5" s="3" t="s">
        <v>23</v>
      </c>
      <c r="B5" s="2"/>
      <c r="C5" s="2"/>
      <c r="D5" s="2">
        <v>0.96099999999999997</v>
      </c>
      <c r="E5" s="2"/>
      <c r="F5" s="2"/>
      <c r="G5" s="2">
        <f t="shared" si="0"/>
        <v>0.3203333333333333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>
        <f>0.752</f>
        <v>0.752</v>
      </c>
      <c r="G6" s="2">
        <f t="shared" si="0"/>
        <v>0.25066666666666665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>
        <f>0.585</f>
        <v>0.58499999999999996</v>
      </c>
      <c r="F7" s="2"/>
      <c r="G7" s="2">
        <f t="shared" si="0"/>
        <v>0.19499999999999998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0.382</f>
        <v>0.38200000000000001</v>
      </c>
      <c r="K8" s="2">
        <f t="shared" si="1"/>
        <v>5.7299999999999997E-2</v>
      </c>
      <c r="L8" s="2">
        <f t="shared" si="2"/>
        <v>0.26739999999999997</v>
      </c>
      <c r="M8" s="4"/>
    </row>
    <row r="9" spans="1:13" x14ac:dyDescent="0.25">
      <c r="A9" s="3" t="s">
        <v>27</v>
      </c>
      <c r="B9" s="2"/>
      <c r="C9" s="2"/>
      <c r="D9" s="2"/>
      <c r="E9" s="2"/>
      <c r="F9" s="2">
        <f>0.0506+0.0216</f>
        <v>7.22E-2</v>
      </c>
      <c r="G9" s="2">
        <f t="shared" si="0"/>
        <v>2.4066666666666667E-2</v>
      </c>
      <c r="H9" s="2">
        <f>0.0302</f>
        <v>3.0200000000000001E-2</v>
      </c>
      <c r="I9" s="2">
        <f>0.016</f>
        <v>1.6E-2</v>
      </c>
      <c r="J9" s="2"/>
      <c r="K9" s="2">
        <f t="shared" si="1"/>
        <v>1.9635E-2</v>
      </c>
      <c r="L9" s="2">
        <f t="shared" si="2"/>
        <v>6.9300000000000004E-3</v>
      </c>
      <c r="M9" s="4"/>
    </row>
    <row r="10" spans="1:13" x14ac:dyDescent="0.25">
      <c r="A10" s="3" t="s">
        <v>29</v>
      </c>
      <c r="B10" s="2"/>
      <c r="C10" s="2"/>
      <c r="D10" s="2"/>
      <c r="E10" s="2"/>
      <c r="F10" s="2"/>
      <c r="G10" s="2">
        <f t="shared" si="0"/>
        <v>0</v>
      </c>
      <c r="H10" s="2"/>
      <c r="I10" s="2"/>
      <c r="J10" s="2"/>
      <c r="K10" s="2">
        <f t="shared" si="1"/>
        <v>0</v>
      </c>
      <c r="L10" s="2">
        <f t="shared" si="2"/>
        <v>0</v>
      </c>
      <c r="M10" s="4"/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/>
      <c r="K11" s="2">
        <f t="shared" si="1"/>
        <v>0</v>
      </c>
      <c r="L11" s="2">
        <f t="shared" si="2"/>
        <v>0</v>
      </c>
      <c r="M11" s="4"/>
    </row>
    <row r="12" spans="1:13" x14ac:dyDescent="0.25">
      <c r="A12" s="3" t="s">
        <v>14</v>
      </c>
      <c r="B12" s="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26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f>0.173</f>
        <v>0.17299999999999999</v>
      </c>
    </row>
    <row r="14" spans="1:13" x14ac:dyDescent="0.25">
      <c r="A14" s="3" t="s">
        <v>17</v>
      </c>
      <c r="B14" s="2">
        <f>1</f>
        <v>1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0.968</f>
        <v>0.96799999999999997</v>
      </c>
      <c r="I15" s="2"/>
      <c r="J15" s="2"/>
      <c r="K15" s="2">
        <f t="shared" si="1"/>
        <v>0.41139999999999999</v>
      </c>
      <c r="L15" s="2">
        <f t="shared" si="2"/>
        <v>0.1452</v>
      </c>
      <c r="M15" s="4"/>
    </row>
    <row r="16" spans="1:13" x14ac:dyDescent="0.25">
      <c r="A16" s="3" t="s">
        <v>31</v>
      </c>
      <c r="B16" s="2"/>
      <c r="C16" s="2"/>
      <c r="D16" s="2"/>
      <c r="E16" s="2"/>
      <c r="F16" s="2"/>
      <c r="G16" s="2">
        <f t="shared" si="0"/>
        <v>0</v>
      </c>
      <c r="H16" s="2"/>
      <c r="I16" s="2"/>
      <c r="J16" s="2"/>
      <c r="K16" s="2">
        <f t="shared" si="1"/>
        <v>0</v>
      </c>
      <c r="L16" s="2">
        <f t="shared" si="2"/>
        <v>0</v>
      </c>
      <c r="M16" s="4"/>
    </row>
    <row r="17" spans="1:13" x14ac:dyDescent="0.25">
      <c r="A17" s="3" t="s">
        <v>15</v>
      </c>
      <c r="B17" s="2"/>
      <c r="C17" s="2"/>
      <c r="D17" s="2"/>
      <c r="E17" s="2"/>
      <c r="F17" s="2"/>
      <c r="G17" s="2">
        <f t="shared" si="0"/>
        <v>0</v>
      </c>
      <c r="H17" s="2"/>
      <c r="I17" s="2">
        <f>0.984</f>
        <v>0.98399999999999999</v>
      </c>
      <c r="J17" s="2"/>
      <c r="K17" s="2">
        <f t="shared" si="1"/>
        <v>0.41819999999999996</v>
      </c>
      <c r="L17" s="2">
        <f t="shared" si="2"/>
        <v>0.14759999999999998</v>
      </c>
      <c r="M17" s="4"/>
    </row>
    <row r="18" spans="1:13" x14ac:dyDescent="0.25">
      <c r="A18" s="10" t="s">
        <v>13</v>
      </c>
      <c r="B18" s="8"/>
      <c r="C18" s="8"/>
      <c r="D18" s="8"/>
      <c r="E18" s="8"/>
      <c r="F18" s="8"/>
      <c r="G18" s="8">
        <f t="shared" si="0"/>
        <v>0</v>
      </c>
      <c r="H18" s="8"/>
      <c r="I18" s="8"/>
      <c r="J18" s="8"/>
      <c r="K18" s="8">
        <f t="shared" si="1"/>
        <v>0</v>
      </c>
      <c r="L18" s="8">
        <f t="shared" si="2"/>
        <v>0</v>
      </c>
      <c r="M18" s="9"/>
    </row>
    <row r="19" spans="1:13" x14ac:dyDescent="0.25">
      <c r="A19" s="1" t="s">
        <v>49</v>
      </c>
      <c r="B19" s="2">
        <f>1-SUM(Tableau6[FK])</f>
        <v>0</v>
      </c>
      <c r="C19" s="2">
        <f>1-SUM(Tableau6[PtL-grid])</f>
        <v>1.0000000000000009E-3</v>
      </c>
      <c r="D19" s="2">
        <f>1-SUM(Tableau6[PtL-PV])</f>
        <v>9.000000000000008E-3</v>
      </c>
      <c r="E19" s="2">
        <f>1-SUM(Tableau6[PtL-wind-onshore])</f>
        <v>3.5000000000000031E-2</v>
      </c>
      <c r="F19" s="2">
        <f>1-SUM(Tableau6[PtL-wind-offshore])</f>
        <v>0.10939999999999994</v>
      </c>
      <c r="G19" s="2">
        <f>1-SUM(Tableau6[PtL-dedicated])</f>
        <v>5.1133333333333364E-2</v>
      </c>
      <c r="H19" s="2">
        <f>1-SUM(Tableau6[FT-residues])</f>
        <v>1.8000000000000238E-3</v>
      </c>
      <c r="I19" s="2">
        <f>1-SUM(Tableau6[FT-products])</f>
        <v>0</v>
      </c>
      <c r="J19" s="2">
        <f>1-SUM(Tableau6[HEFA-rapeseed])</f>
        <v>2.0000000000000018E-3</v>
      </c>
      <c r="K19" s="2">
        <f>1-SUM(Tableau6[Bio-FT])</f>
        <v>1.0650000000000936E-3</v>
      </c>
      <c r="L19" s="2">
        <f>1-SUM(Tableau6[Bio-HEFA])</f>
        <v>1.6700000000001713E-3</v>
      </c>
      <c r="M19" s="2">
        <f>1-SUM(Tableau6[LH2])</f>
        <v>1.0000000000001119E-3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C6A1-376B-43D0-9311-CEDC7E37F238}">
  <dimension ref="A1:M19"/>
  <sheetViews>
    <sheetView zoomScale="85" zoomScaleNormal="85" workbookViewId="0">
      <selection activeCell="A20" sqref="A20"/>
    </sheetView>
  </sheetViews>
  <sheetFormatPr baseColWidth="10" defaultRowHeight="15" x14ac:dyDescent="0.25"/>
  <cols>
    <col min="1" max="1" width="38.85546875" bestFit="1" customWidth="1"/>
    <col min="2" max="2" width="8.7109375" bestFit="1" customWidth="1"/>
    <col min="3" max="3" width="9.5703125" customWidth="1"/>
    <col min="4" max="4" width="8.5703125" customWidth="1"/>
    <col min="5" max="5" width="17.7109375" customWidth="1"/>
    <col min="6" max="6" width="18" customWidth="1"/>
    <col min="7" max="7" width="14.42578125" customWidth="1"/>
    <col min="8" max="8" width="12.7109375" customWidth="1"/>
    <col min="9" max="9" width="13" customWidth="1"/>
    <col min="10" max="10" width="16" customWidth="1"/>
    <col min="11" max="11" width="8.5703125" customWidth="1"/>
    <col min="12" max="12" width="11.140625" customWidth="1"/>
    <col min="13" max="13" width="6.4257812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/>
      <c r="C2" s="2"/>
      <c r="D2" s="2"/>
      <c r="E2" s="2"/>
      <c r="F2" s="2"/>
      <c r="G2" s="2">
        <f t="shared" ref="G2:G18" si="0">(1/3)*D2+(1/3)*E2+(1/3)*F2</f>
        <v>0</v>
      </c>
      <c r="H2" s="2"/>
      <c r="I2" s="2"/>
      <c r="J2" s="2"/>
      <c r="K2" s="2">
        <f t="shared" ref="K2:K18" si="1">0.15*J2+0.425*I2+0.425*H2</f>
        <v>0</v>
      </c>
      <c r="L2" s="2">
        <f t="shared" ref="L2:L18" si="2">0.7*J2+0.15*I2+0.15*H2</f>
        <v>0</v>
      </c>
      <c r="M2" s="4"/>
    </row>
    <row r="3" spans="1:13" x14ac:dyDescent="0.25">
      <c r="A3" s="3" t="s">
        <v>16</v>
      </c>
      <c r="B3" s="2"/>
      <c r="C3" s="2">
        <f>0.161</f>
        <v>0.161</v>
      </c>
      <c r="D3" s="2">
        <f>0.233</f>
        <v>0.23300000000000001</v>
      </c>
      <c r="E3" s="2">
        <f>0.44</f>
        <v>0.44</v>
      </c>
      <c r="F3" s="2">
        <f>0.532</f>
        <v>0.53200000000000003</v>
      </c>
      <c r="G3" s="2">
        <f t="shared" si="0"/>
        <v>0.40166666666666667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>
        <f>0.813</f>
        <v>0.81299999999999994</v>
      </c>
      <c r="D4" s="2"/>
      <c r="E4" s="2"/>
      <c r="F4" s="2"/>
      <c r="G4" s="2">
        <f t="shared" si="0"/>
        <v>0</v>
      </c>
      <c r="H4" s="2"/>
      <c r="I4" s="2"/>
      <c r="J4" s="2"/>
      <c r="K4" s="2">
        <f t="shared" si="1"/>
        <v>0</v>
      </c>
      <c r="L4" s="2">
        <f t="shared" si="2"/>
        <v>0</v>
      </c>
      <c r="M4" s="4">
        <f>0.798</f>
        <v>0.79800000000000004</v>
      </c>
    </row>
    <row r="5" spans="1:13" x14ac:dyDescent="0.25">
      <c r="A5" s="3" t="s">
        <v>23</v>
      </c>
      <c r="B5" s="2"/>
      <c r="C5" s="2"/>
      <c r="D5" s="2">
        <f>0.699</f>
        <v>0.69899999999999995</v>
      </c>
      <c r="E5" s="2"/>
      <c r="F5" s="2"/>
      <c r="G5" s="2">
        <f t="shared" si="0"/>
        <v>0.23299999999999998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>
        <f>0.227</f>
        <v>0.22700000000000001</v>
      </c>
      <c r="G6" s="2">
        <f t="shared" si="0"/>
        <v>7.566666666666666E-2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>
        <f>0.372</f>
        <v>0.372</v>
      </c>
      <c r="F7" s="2"/>
      <c r="G7" s="2">
        <f t="shared" si="0"/>
        <v>0.124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0.97</f>
        <v>0.97</v>
      </c>
      <c r="K8" s="2">
        <f t="shared" si="1"/>
        <v>0.14549999999999999</v>
      </c>
      <c r="L8" s="2">
        <f t="shared" si="2"/>
        <v>0.67899999999999994</v>
      </c>
      <c r="M8" s="4"/>
    </row>
    <row r="9" spans="1:13" x14ac:dyDescent="0.25">
      <c r="A9" s="3" t="s">
        <v>27</v>
      </c>
      <c r="B9" s="2"/>
      <c r="C9" s="2"/>
      <c r="D9" s="2"/>
      <c r="E9" s="2"/>
      <c r="F9" s="2"/>
      <c r="G9" s="2">
        <f t="shared" si="0"/>
        <v>0</v>
      </c>
      <c r="H9" s="2">
        <f>0.0518</f>
        <v>5.1799999999999999E-2</v>
      </c>
      <c r="I9" s="2">
        <f>0.0502</f>
        <v>5.0200000000000002E-2</v>
      </c>
      <c r="J9" s="2"/>
      <c r="K9" s="2">
        <f t="shared" si="1"/>
        <v>4.335E-2</v>
      </c>
      <c r="L9" s="2">
        <f t="shared" si="2"/>
        <v>1.5299999999999999E-2</v>
      </c>
      <c r="M9" s="4"/>
    </row>
    <row r="10" spans="1:13" x14ac:dyDescent="0.25">
      <c r="A10" s="3" t="s">
        <v>29</v>
      </c>
      <c r="B10" s="2"/>
      <c r="C10" s="2"/>
      <c r="D10" s="2"/>
      <c r="E10" s="2"/>
      <c r="F10" s="2"/>
      <c r="G10" s="2">
        <f t="shared" si="0"/>
        <v>0</v>
      </c>
      <c r="H10" s="2"/>
      <c r="I10" s="2"/>
      <c r="J10" s="2"/>
      <c r="K10" s="2">
        <f t="shared" si="1"/>
        <v>0</v>
      </c>
      <c r="L10" s="2">
        <f t="shared" si="2"/>
        <v>0</v>
      </c>
      <c r="M10" s="4"/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>
        <f>0.03</f>
        <v>0.03</v>
      </c>
      <c r="K11" s="2">
        <f t="shared" si="1"/>
        <v>4.4999999999999997E-3</v>
      </c>
      <c r="L11" s="2">
        <f t="shared" si="2"/>
        <v>2.0999999999999998E-2</v>
      </c>
      <c r="M11" s="4"/>
    </row>
    <row r="12" spans="1:13" x14ac:dyDescent="0.25">
      <c r="A12" s="3" t="s">
        <v>14</v>
      </c>
      <c r="B12" s="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18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f>0.16+0.04</f>
        <v>0.2</v>
      </c>
    </row>
    <row r="14" spans="1:13" x14ac:dyDescent="0.25">
      <c r="A14" s="3" t="s">
        <v>17</v>
      </c>
      <c r="B14" s="2">
        <f>1</f>
        <v>1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0.843</f>
        <v>0.84299999999999997</v>
      </c>
      <c r="I15" s="2"/>
      <c r="J15" s="2"/>
      <c r="K15" s="2">
        <f t="shared" si="1"/>
        <v>0.35827499999999995</v>
      </c>
      <c r="L15" s="2">
        <f t="shared" si="2"/>
        <v>0.12644999999999998</v>
      </c>
      <c r="M15" s="4"/>
    </row>
    <row r="16" spans="1:13" x14ac:dyDescent="0.25">
      <c r="A16" s="3" t="s">
        <v>31</v>
      </c>
      <c r="B16" s="2"/>
      <c r="C16" s="2"/>
      <c r="D16" s="2">
        <f>0.0641</f>
        <v>6.4100000000000004E-2</v>
      </c>
      <c r="E16" s="2">
        <f>0.177</f>
        <v>0.17699999999999999</v>
      </c>
      <c r="F16" s="2">
        <f>0.227</f>
        <v>0.22700000000000001</v>
      </c>
      <c r="G16" s="2">
        <f t="shared" si="0"/>
        <v>0.15603333333333333</v>
      </c>
      <c r="H16" s="2"/>
      <c r="I16" s="2"/>
      <c r="J16" s="2"/>
      <c r="K16" s="2">
        <f t="shared" si="1"/>
        <v>0</v>
      </c>
      <c r="L16" s="2">
        <f t="shared" si="2"/>
        <v>0</v>
      </c>
      <c r="M16" s="4"/>
    </row>
    <row r="17" spans="1:13" x14ac:dyDescent="0.25">
      <c r="A17" s="3" t="s">
        <v>15</v>
      </c>
      <c r="B17" s="2"/>
      <c r="C17" s="2"/>
      <c r="D17" s="2"/>
      <c r="E17" s="2"/>
      <c r="F17" s="2"/>
      <c r="G17" s="2">
        <f t="shared" si="0"/>
        <v>0</v>
      </c>
      <c r="H17" s="2"/>
      <c r="I17" s="2">
        <f>0.848</f>
        <v>0.84799999999999998</v>
      </c>
      <c r="J17" s="2"/>
      <c r="K17" s="2">
        <f t="shared" si="1"/>
        <v>0.3604</v>
      </c>
      <c r="L17" s="2">
        <f t="shared" si="2"/>
        <v>0.12719999999999998</v>
      </c>
      <c r="M17" s="4"/>
    </row>
    <row r="18" spans="1:13" x14ac:dyDescent="0.25">
      <c r="A18" s="10" t="s">
        <v>13</v>
      </c>
      <c r="B18" s="8"/>
      <c r="C18" s="8"/>
      <c r="D18" s="8"/>
      <c r="E18" s="8"/>
      <c r="F18" s="8"/>
      <c r="G18" s="8">
        <f t="shared" si="0"/>
        <v>0</v>
      </c>
      <c r="H18" s="8">
        <f>0.0569</f>
        <v>5.6899999999999999E-2</v>
      </c>
      <c r="I18" s="8">
        <f>0.055</f>
        <v>5.5E-2</v>
      </c>
      <c r="J18" s="8"/>
      <c r="K18" s="8">
        <f t="shared" si="1"/>
        <v>4.7557500000000003E-2</v>
      </c>
      <c r="L18" s="8">
        <f t="shared" si="2"/>
        <v>1.6785000000000001E-2</v>
      </c>
      <c r="M18" s="9"/>
    </row>
    <row r="19" spans="1:13" x14ac:dyDescent="0.25">
      <c r="A19" s="1" t="s">
        <v>49</v>
      </c>
      <c r="B19" s="2">
        <f>1-SUM(Tableau7[FK])</f>
        <v>0</v>
      </c>
      <c r="C19" s="2">
        <f>1-SUM(Tableau7[PtL-grid])</f>
        <v>2.6000000000000023E-2</v>
      </c>
      <c r="D19" s="2">
        <f>1-SUM(Tableau7[PtL-PV])</f>
        <v>3.9000000000000146E-3</v>
      </c>
      <c r="E19" s="2">
        <f>1-SUM(Tableau7[PtL-wind-onshore])</f>
        <v>1.0999999999999899E-2</v>
      </c>
      <c r="F19" s="2">
        <f>1-SUM(Tableau7[PtL-wind-offshore])</f>
        <v>1.4000000000000012E-2</v>
      </c>
      <c r="G19" s="2">
        <f>1-SUM(Tableau7[PtL-dedicated])</f>
        <v>9.6333333333332716E-3</v>
      </c>
      <c r="H19" s="2">
        <f>1-SUM(Tableau7[FT-residues])</f>
        <v>4.8300000000000121E-2</v>
      </c>
      <c r="I19" s="2">
        <f>1-SUM(Tableau7[FT-products])</f>
        <v>4.6799999999999953E-2</v>
      </c>
      <c r="J19" s="2">
        <f>1-SUM(Tableau7[HEFA-rapeseed])</f>
        <v>0</v>
      </c>
      <c r="K19" s="2">
        <f>1-SUM(Tableau7[Bio-FT])</f>
        <v>4.0417500000000106E-2</v>
      </c>
      <c r="L19" s="2">
        <f>1-SUM(Tableau7[Bio-HEFA])</f>
        <v>1.4265000000000083E-2</v>
      </c>
      <c r="M19" s="2">
        <f>1-SUM(Tableau7[LH2])</f>
        <v>2.0000000000000018E-3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6BE3-7806-47B6-83F1-EAA8EF1E8DCC}">
  <dimension ref="A1:M19"/>
  <sheetViews>
    <sheetView zoomScale="85" zoomScaleNormal="85" workbookViewId="0">
      <selection activeCell="A20" sqref="A20"/>
    </sheetView>
  </sheetViews>
  <sheetFormatPr baseColWidth="10" defaultRowHeight="15" x14ac:dyDescent="0.25"/>
  <cols>
    <col min="1" max="1" width="38.85546875" bestFit="1" customWidth="1"/>
    <col min="2" max="2" width="8.7109375" bestFit="1" customWidth="1"/>
    <col min="3" max="3" width="9.5703125" customWidth="1"/>
    <col min="4" max="4" width="8.5703125" customWidth="1"/>
    <col min="5" max="5" width="17.7109375" customWidth="1"/>
    <col min="6" max="6" width="18" customWidth="1"/>
    <col min="7" max="7" width="14.42578125" customWidth="1"/>
    <col min="8" max="8" width="12.7109375" customWidth="1"/>
    <col min="9" max="9" width="13" customWidth="1"/>
    <col min="10" max="10" width="16" customWidth="1"/>
    <col min="11" max="11" width="8.5703125" customWidth="1"/>
    <col min="12" max="12" width="11.140625" customWidth="1"/>
    <col min="13" max="13" width="6.42578125" customWidth="1"/>
  </cols>
  <sheetData>
    <row r="1" spans="1:13" x14ac:dyDescent="0.25">
      <c r="A1" s="5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</row>
    <row r="2" spans="1:13" x14ac:dyDescent="0.25">
      <c r="A2" s="3" t="s">
        <v>19</v>
      </c>
      <c r="B2" s="2">
        <v>0.75</v>
      </c>
      <c r="C2" s="2">
        <f>0.14</f>
        <v>0.14000000000000001</v>
      </c>
      <c r="D2" s="2">
        <f>0.5</f>
        <v>0.5</v>
      </c>
      <c r="E2" s="2">
        <f>0.58</f>
        <v>0.57999999999999996</v>
      </c>
      <c r="F2" s="2">
        <f>0.72</f>
        <v>0.72</v>
      </c>
      <c r="G2" s="2">
        <f t="shared" ref="G2:G18" si="0">(1/3)*D2+(1/3)*E2+(1/3)*F2</f>
        <v>0.6</v>
      </c>
      <c r="H2" s="2">
        <f>0.77</f>
        <v>0.77</v>
      </c>
      <c r="I2" s="2">
        <f>0.91</f>
        <v>0.91</v>
      </c>
      <c r="J2" s="2">
        <f>0.02</f>
        <v>0.02</v>
      </c>
      <c r="K2" s="2">
        <f t="shared" ref="K2:K18" si="1">0.15*J2+0.425*I2+0.425*H2</f>
        <v>0.71699999999999997</v>
      </c>
      <c r="L2" s="2">
        <f t="shared" ref="L2:L18" si="2">0.7*J2+0.15*I2+0.15*H2</f>
        <v>0.26600000000000001</v>
      </c>
      <c r="M2" s="4"/>
    </row>
    <row r="3" spans="1:13" x14ac:dyDescent="0.25">
      <c r="A3" s="3" t="s">
        <v>16</v>
      </c>
      <c r="B3" s="2"/>
      <c r="C3" s="2">
        <f>0.104</f>
        <v>0.104</v>
      </c>
      <c r="D3" s="2">
        <f>0.0745</f>
        <v>7.4499999999999997E-2</v>
      </c>
      <c r="E3" s="2">
        <f>0.0617</f>
        <v>6.1699999999999998E-2</v>
      </c>
      <c r="F3" s="2"/>
      <c r="G3" s="2">
        <f t="shared" si="0"/>
        <v>4.5399999999999996E-2</v>
      </c>
      <c r="H3" s="2"/>
      <c r="I3" s="2"/>
      <c r="J3" s="2"/>
      <c r="K3" s="2">
        <f t="shared" si="1"/>
        <v>0</v>
      </c>
      <c r="L3" s="2">
        <f t="shared" si="2"/>
        <v>0</v>
      </c>
      <c r="M3" s="4"/>
    </row>
    <row r="4" spans="1:13" x14ac:dyDescent="0.25">
      <c r="A4" s="3" t="s">
        <v>22</v>
      </c>
      <c r="B4" s="2"/>
      <c r="C4" s="2">
        <f>0.749</f>
        <v>0.749</v>
      </c>
      <c r="D4" s="2"/>
      <c r="E4" s="2"/>
      <c r="F4" s="2"/>
      <c r="G4" s="2">
        <f t="shared" si="0"/>
        <v>0</v>
      </c>
      <c r="H4" s="2"/>
      <c r="I4" s="2"/>
      <c r="J4" s="2"/>
      <c r="K4" s="2">
        <f t="shared" si="1"/>
        <v>0</v>
      </c>
      <c r="L4" s="2">
        <f t="shared" si="2"/>
        <v>0</v>
      </c>
      <c r="M4" s="4">
        <f>0.827</f>
        <v>0.82699999999999996</v>
      </c>
    </row>
    <row r="5" spans="1:13" x14ac:dyDescent="0.25">
      <c r="A5" s="3" t="s">
        <v>23</v>
      </c>
      <c r="B5" s="2"/>
      <c r="C5" s="2"/>
      <c r="D5" s="2">
        <f>0.395</f>
        <v>0.39500000000000002</v>
      </c>
      <c r="E5" s="2"/>
      <c r="F5" s="2"/>
      <c r="G5" s="2">
        <f t="shared" si="0"/>
        <v>0.13166666666666665</v>
      </c>
      <c r="H5" s="2"/>
      <c r="I5" s="2"/>
      <c r="J5" s="2"/>
      <c r="K5" s="2">
        <f t="shared" si="1"/>
        <v>0</v>
      </c>
      <c r="L5" s="2">
        <f t="shared" si="2"/>
        <v>0</v>
      </c>
      <c r="M5" s="4"/>
    </row>
    <row r="6" spans="1:13" x14ac:dyDescent="0.25">
      <c r="A6" s="3" t="s">
        <v>25</v>
      </c>
      <c r="B6" s="2"/>
      <c r="C6" s="2"/>
      <c r="D6" s="2"/>
      <c r="E6" s="2"/>
      <c r="F6" s="2">
        <f>0.192</f>
        <v>0.192</v>
      </c>
      <c r="G6" s="2">
        <f t="shared" si="0"/>
        <v>6.4000000000000001E-2</v>
      </c>
      <c r="H6" s="2"/>
      <c r="I6" s="2"/>
      <c r="J6" s="2"/>
      <c r="K6" s="2">
        <f t="shared" si="1"/>
        <v>0</v>
      </c>
      <c r="L6" s="2">
        <f t="shared" si="2"/>
        <v>0</v>
      </c>
      <c r="M6" s="4"/>
    </row>
    <row r="7" spans="1:13" x14ac:dyDescent="0.25">
      <c r="A7" s="3" t="s">
        <v>24</v>
      </c>
      <c r="B7" s="2"/>
      <c r="C7" s="2"/>
      <c r="D7" s="2"/>
      <c r="E7" s="2">
        <f>0.327</f>
        <v>0.32700000000000001</v>
      </c>
      <c r="F7" s="2"/>
      <c r="G7" s="2">
        <f t="shared" si="0"/>
        <v>0.109</v>
      </c>
      <c r="H7" s="2"/>
      <c r="I7" s="2"/>
      <c r="J7" s="2"/>
      <c r="K7" s="2">
        <f t="shared" si="1"/>
        <v>0</v>
      </c>
      <c r="L7" s="2">
        <f t="shared" si="2"/>
        <v>0</v>
      </c>
      <c r="M7" s="4"/>
    </row>
    <row r="8" spans="1:13" x14ac:dyDescent="0.25">
      <c r="A8" s="3" t="s">
        <v>21</v>
      </c>
      <c r="B8" s="2"/>
      <c r="C8" s="2"/>
      <c r="D8" s="2"/>
      <c r="E8" s="2"/>
      <c r="F8" s="2"/>
      <c r="G8" s="2">
        <f t="shared" si="0"/>
        <v>0</v>
      </c>
      <c r="H8" s="2"/>
      <c r="I8" s="2"/>
      <c r="J8" s="2">
        <f>0.979</f>
        <v>0.97899999999999998</v>
      </c>
      <c r="K8" s="2">
        <f t="shared" si="1"/>
        <v>0.14684999999999998</v>
      </c>
      <c r="L8" s="2">
        <f t="shared" si="2"/>
        <v>0.68529999999999991</v>
      </c>
      <c r="M8" s="4"/>
    </row>
    <row r="9" spans="1:13" x14ac:dyDescent="0.25">
      <c r="A9" s="3" t="s">
        <v>27</v>
      </c>
      <c r="B9" s="2"/>
      <c r="C9" s="2"/>
      <c r="D9" s="2"/>
      <c r="E9" s="2"/>
      <c r="F9" s="2"/>
      <c r="G9" s="2">
        <f t="shared" si="0"/>
        <v>0</v>
      </c>
      <c r="H9" s="2"/>
      <c r="I9" s="2"/>
      <c r="J9" s="2"/>
      <c r="K9" s="2">
        <f t="shared" si="1"/>
        <v>0</v>
      </c>
      <c r="L9" s="2">
        <f t="shared" si="2"/>
        <v>0</v>
      </c>
      <c r="M9" s="4"/>
    </row>
    <row r="10" spans="1:13" x14ac:dyDescent="0.25">
      <c r="A10" s="3" t="s">
        <v>29</v>
      </c>
      <c r="B10" s="2"/>
      <c r="C10" s="2"/>
      <c r="D10" s="2"/>
      <c r="E10" s="2"/>
      <c r="F10" s="2"/>
      <c r="G10" s="2">
        <f t="shared" si="0"/>
        <v>0</v>
      </c>
      <c r="H10" s="2"/>
      <c r="I10" s="2"/>
      <c r="J10" s="2"/>
      <c r="K10" s="2">
        <f t="shared" si="1"/>
        <v>0</v>
      </c>
      <c r="L10" s="2">
        <f t="shared" si="2"/>
        <v>0</v>
      </c>
      <c r="M10" s="4"/>
    </row>
    <row r="11" spans="1:13" x14ac:dyDescent="0.25">
      <c r="A11" s="3" t="s">
        <v>28</v>
      </c>
      <c r="B11" s="2"/>
      <c r="C11" s="2"/>
      <c r="D11" s="2"/>
      <c r="E11" s="2"/>
      <c r="F11" s="2"/>
      <c r="G11" s="2">
        <f t="shared" si="0"/>
        <v>0</v>
      </c>
      <c r="H11" s="2"/>
      <c r="I11" s="2"/>
      <c r="J11" s="2"/>
      <c r="K11" s="2">
        <f t="shared" si="1"/>
        <v>0</v>
      </c>
      <c r="L11" s="2">
        <f t="shared" si="2"/>
        <v>0</v>
      </c>
      <c r="M11" s="4"/>
    </row>
    <row r="12" spans="1:13" x14ac:dyDescent="0.25">
      <c r="A12" s="3" t="s">
        <v>14</v>
      </c>
      <c r="B12" s="2"/>
      <c r="C12" s="2"/>
      <c r="D12" s="2"/>
      <c r="E12" s="2"/>
      <c r="F12" s="2"/>
      <c r="G12" s="2">
        <f t="shared" si="0"/>
        <v>0</v>
      </c>
      <c r="H12" s="2"/>
      <c r="I12" s="2"/>
      <c r="J12" s="2"/>
      <c r="K12" s="2">
        <f t="shared" si="1"/>
        <v>0</v>
      </c>
      <c r="L12" s="2">
        <f t="shared" si="2"/>
        <v>0</v>
      </c>
      <c r="M12" s="4"/>
    </row>
    <row r="13" spans="1:13" x14ac:dyDescent="0.25">
      <c r="A13" s="3" t="s">
        <v>26</v>
      </c>
      <c r="B13" s="2"/>
      <c r="C13" s="2"/>
      <c r="D13" s="2"/>
      <c r="E13" s="2"/>
      <c r="F13" s="2"/>
      <c r="G13" s="2">
        <f t="shared" si="0"/>
        <v>0</v>
      </c>
      <c r="H13" s="2"/>
      <c r="I13" s="2"/>
      <c r="J13" s="2"/>
      <c r="K13" s="2">
        <f t="shared" si="1"/>
        <v>0</v>
      </c>
      <c r="L13" s="2">
        <f t="shared" si="2"/>
        <v>0</v>
      </c>
      <c r="M13" s="4">
        <f>0.171</f>
        <v>0.17100000000000001</v>
      </c>
    </row>
    <row r="14" spans="1:13" x14ac:dyDescent="0.25">
      <c r="A14" s="3" t="s">
        <v>17</v>
      </c>
      <c r="B14" s="2">
        <v>0.25</v>
      </c>
      <c r="C14" s="2"/>
      <c r="D14" s="2"/>
      <c r="E14" s="2"/>
      <c r="F14" s="2"/>
      <c r="G14" s="2">
        <f t="shared" si="0"/>
        <v>0</v>
      </c>
      <c r="H14" s="2"/>
      <c r="I14" s="2"/>
      <c r="J14" s="2"/>
      <c r="K14" s="2">
        <f t="shared" si="1"/>
        <v>0</v>
      </c>
      <c r="L14" s="2">
        <f t="shared" si="2"/>
        <v>0</v>
      </c>
      <c r="M14" s="4"/>
    </row>
    <row r="15" spans="1:13" x14ac:dyDescent="0.25">
      <c r="A15" s="3" t="s">
        <v>20</v>
      </c>
      <c r="B15" s="2"/>
      <c r="C15" s="2"/>
      <c r="D15" s="2"/>
      <c r="E15" s="2"/>
      <c r="F15" s="2"/>
      <c r="G15" s="2">
        <f t="shared" si="0"/>
        <v>0</v>
      </c>
      <c r="H15" s="2">
        <f>0.227</f>
        <v>0.22700000000000001</v>
      </c>
      <c r="I15" s="2"/>
      <c r="J15" s="2"/>
      <c r="K15" s="2">
        <f t="shared" si="1"/>
        <v>9.6475000000000005E-2</v>
      </c>
      <c r="L15" s="2">
        <f t="shared" si="2"/>
        <v>3.4049999999999997E-2</v>
      </c>
      <c r="M15" s="4"/>
    </row>
    <row r="16" spans="1:13" x14ac:dyDescent="0.25">
      <c r="A16" s="3" t="s">
        <v>31</v>
      </c>
      <c r="B16" s="2"/>
      <c r="C16" s="2"/>
      <c r="D16" s="2"/>
      <c r="E16" s="2"/>
      <c r="F16" s="2"/>
      <c r="G16" s="2">
        <f t="shared" si="0"/>
        <v>0</v>
      </c>
      <c r="H16" s="2"/>
      <c r="I16" s="2"/>
      <c r="J16" s="2"/>
      <c r="K16" s="2">
        <f t="shared" si="1"/>
        <v>0</v>
      </c>
      <c r="L16" s="2">
        <f t="shared" si="2"/>
        <v>0</v>
      </c>
      <c r="M16" s="4"/>
    </row>
    <row r="17" spans="1:13" x14ac:dyDescent="0.25">
      <c r="A17" s="3" t="s">
        <v>15</v>
      </c>
      <c r="B17" s="2"/>
      <c r="C17" s="2"/>
      <c r="D17" s="2"/>
      <c r="E17" s="2"/>
      <c r="F17" s="2"/>
      <c r="G17" s="2">
        <f t="shared" si="0"/>
        <v>0</v>
      </c>
      <c r="H17" s="2"/>
      <c r="I17" s="2">
        <f>0.0865</f>
        <v>8.6499999999999994E-2</v>
      </c>
      <c r="J17" s="2"/>
      <c r="K17" s="2">
        <f t="shared" si="1"/>
        <v>3.6762499999999997E-2</v>
      </c>
      <c r="L17" s="2">
        <f t="shared" si="2"/>
        <v>1.2974999999999999E-2</v>
      </c>
      <c r="M17" s="4"/>
    </row>
    <row r="18" spans="1:13" x14ac:dyDescent="0.25">
      <c r="A18" s="10" t="s">
        <v>13</v>
      </c>
      <c r="B18" s="8"/>
      <c r="C18" s="8"/>
      <c r="D18" s="8"/>
      <c r="E18" s="8"/>
      <c r="F18" s="8"/>
      <c r="G18" s="8">
        <f t="shared" si="0"/>
        <v>0</v>
      </c>
      <c r="H18" s="8"/>
      <c r="I18" s="8"/>
      <c r="J18" s="8"/>
      <c r="K18" s="8">
        <f t="shared" si="1"/>
        <v>0</v>
      </c>
      <c r="L18" s="8">
        <f t="shared" si="2"/>
        <v>0</v>
      </c>
      <c r="M18" s="9"/>
    </row>
    <row r="19" spans="1:13" x14ac:dyDescent="0.25">
      <c r="A19" s="1" t="s">
        <v>49</v>
      </c>
      <c r="B19" s="2">
        <f>1-SUM(Tableau8[FK])</f>
        <v>0</v>
      </c>
      <c r="C19" s="2">
        <f>1-SUM(Tableau8[PtL-grid])</f>
        <v>7.0000000000000062E-3</v>
      </c>
      <c r="D19" s="2">
        <f>1-SUM(Tableau8[PtL-PV])</f>
        <v>3.0499999999999972E-2</v>
      </c>
      <c r="E19" s="2">
        <f>1-SUM(Tableau8[PtL-wind-onshore])</f>
        <v>3.1300000000000106E-2</v>
      </c>
      <c r="F19" s="2">
        <f>1-SUM(Tableau8[PtL-wind-offshore])</f>
        <v>8.8000000000000078E-2</v>
      </c>
      <c r="G19" s="2">
        <f>1-SUM(Tableau8[PtL-dedicated])</f>
        <v>4.9933333333333385E-2</v>
      </c>
      <c r="H19" s="2">
        <f>1-SUM(Tableau8[FT-residues])</f>
        <v>3.0000000000000027E-3</v>
      </c>
      <c r="I19" s="2">
        <f>1-SUM(Tableau8[FT-products])</f>
        <v>3.4999999999999476E-3</v>
      </c>
      <c r="J19" s="2">
        <f>1-SUM(Tableau8[HEFA-rapeseed])</f>
        <v>1.0000000000000009E-3</v>
      </c>
      <c r="K19" s="2">
        <f>1-SUM(Tableau8[Bio-FT])</f>
        <v>2.9124999999999845E-3</v>
      </c>
      <c r="L19" s="2">
        <f>1-SUM(Tableau8[Bio-HEFA])</f>
        <v>1.6750000000000931E-3</v>
      </c>
      <c r="M19" s="2">
        <f>1-SUM(Tableau8[LH2])</f>
        <v>2.0000000000000018E-3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Fig_SI1</vt:lpstr>
      <vt:lpstr>CC</vt:lpstr>
      <vt:lpstr>BI</vt:lpstr>
      <vt:lpstr>N</vt:lpstr>
      <vt:lpstr>P</vt:lpstr>
      <vt:lpstr>LSC</vt:lpstr>
      <vt:lpstr>FWU</vt:lpstr>
      <vt:lpstr>SOD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2015-06-05T18:19:34Z</dcterms:created>
  <dcterms:modified xsi:type="dcterms:W3CDTF">2024-11-05T14:21:56Z</dcterms:modified>
</cp:coreProperties>
</file>