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.pais\Documents\Articles\0_Article 1\Submit\Science\"/>
    </mc:Choice>
  </mc:AlternateContent>
  <xr:revisionPtr revIDLastSave="0" documentId="13_ncr:1_{76168347-D84F-41D3-941B-2398C9416255}" xr6:coauthVersionLast="47" xr6:coauthVersionMax="47" xr10:uidLastSave="{00000000-0000-0000-0000-000000000000}"/>
  <bookViews>
    <workbookView xWindow="28680" yWindow="-45" windowWidth="29040" windowHeight="15840" xr2:uid="{2606B934-8CA6-4691-A232-42A0D7768048}"/>
  </bookViews>
  <sheets>
    <sheet name="Fig_SI6_SI7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Y11" i="1" s="1"/>
  <c r="U10" i="1"/>
  <c r="U9" i="1"/>
  <c r="U8" i="1"/>
  <c r="U7" i="1"/>
  <c r="Y7" i="1" s="1"/>
  <c r="U6" i="1"/>
  <c r="U5" i="1"/>
  <c r="U4" i="1"/>
  <c r="U3" i="1"/>
  <c r="S11" i="1"/>
  <c r="W11" i="1"/>
  <c r="S10" i="1"/>
  <c r="W10" i="1" s="1"/>
  <c r="S9" i="1"/>
  <c r="W9" i="1" s="1"/>
  <c r="S8" i="1"/>
  <c r="S7" i="1"/>
  <c r="W7" i="1" s="1"/>
  <c r="S6" i="1"/>
  <c r="W6" i="1" s="1"/>
  <c r="S5" i="1"/>
  <c r="W5" i="1" s="1"/>
  <c r="S4" i="1"/>
  <c r="S3" i="1"/>
  <c r="W8" i="1"/>
  <c r="AL4" i="1"/>
  <c r="AL5" i="1"/>
  <c r="AL6" i="1"/>
  <c r="AL7" i="1"/>
  <c r="AL8" i="1"/>
  <c r="AL9" i="1"/>
  <c r="AL10" i="1"/>
  <c r="AL11" i="1"/>
  <c r="AL3" i="1"/>
  <c r="AD4" i="1"/>
  <c r="AD5" i="1"/>
  <c r="AD6" i="1"/>
  <c r="AD7" i="1"/>
  <c r="AD8" i="1"/>
  <c r="AD9" i="1"/>
  <c r="AD10" i="1"/>
  <c r="AD11" i="1"/>
  <c r="AD3" i="1"/>
  <c r="AN4" i="1"/>
  <c r="AN5" i="1"/>
  <c r="AN6" i="1"/>
  <c r="AN7" i="1"/>
  <c r="AN8" i="1"/>
  <c r="AN9" i="1"/>
  <c r="AN10" i="1"/>
  <c r="AN11" i="1"/>
  <c r="AN3" i="1"/>
  <c r="L4" i="1"/>
  <c r="L5" i="1"/>
  <c r="L6" i="1"/>
  <c r="L7" i="1"/>
  <c r="L8" i="1"/>
  <c r="L9" i="1"/>
  <c r="L10" i="1"/>
  <c r="L11" i="1"/>
  <c r="L3" i="1"/>
  <c r="P4" i="1"/>
  <c r="P5" i="1"/>
  <c r="P6" i="1"/>
  <c r="P7" i="1"/>
  <c r="P8" i="1"/>
  <c r="P9" i="1"/>
  <c r="P10" i="1"/>
  <c r="P11" i="1"/>
  <c r="P3" i="1"/>
  <c r="X4" i="1"/>
  <c r="X5" i="1"/>
  <c r="X6" i="1"/>
  <c r="X7" i="1"/>
  <c r="X8" i="1"/>
  <c r="X9" i="1"/>
  <c r="X10" i="1"/>
  <c r="X11" i="1"/>
  <c r="X3" i="1"/>
  <c r="AF4" i="1"/>
  <c r="AF5" i="1"/>
  <c r="AF6" i="1"/>
  <c r="AF7" i="1"/>
  <c r="AF8" i="1"/>
  <c r="AF9" i="1"/>
  <c r="AF10" i="1"/>
  <c r="AF11" i="1"/>
  <c r="AF3" i="1"/>
  <c r="N4" i="1"/>
  <c r="N5" i="1"/>
  <c r="N6" i="1"/>
  <c r="N7" i="1"/>
  <c r="N8" i="1"/>
  <c r="N9" i="1"/>
  <c r="N10" i="1"/>
  <c r="N11" i="1"/>
  <c r="N3" i="1"/>
  <c r="J4" i="1"/>
  <c r="J5" i="1"/>
  <c r="J6" i="1"/>
  <c r="J7" i="1"/>
  <c r="J8" i="1"/>
  <c r="J9" i="1"/>
  <c r="J10" i="1"/>
  <c r="J11" i="1"/>
  <c r="J3" i="1"/>
  <c r="V4" i="1"/>
  <c r="V5" i="1"/>
  <c r="V6" i="1"/>
  <c r="V7" i="1"/>
  <c r="V8" i="1"/>
  <c r="V9" i="1"/>
  <c r="V10" i="1"/>
  <c r="V11" i="1"/>
  <c r="V3" i="1"/>
  <c r="AM4" i="1"/>
  <c r="AM5" i="1"/>
  <c r="AM6" i="1"/>
  <c r="AM7" i="1"/>
  <c r="AM8" i="1"/>
  <c r="AM9" i="1"/>
  <c r="AM10" i="1"/>
  <c r="AM11" i="1"/>
  <c r="AM3" i="1"/>
  <c r="AE4" i="1"/>
  <c r="AE5" i="1"/>
  <c r="AE6" i="1"/>
  <c r="AE7" i="1"/>
  <c r="AE8" i="1"/>
  <c r="AE9" i="1"/>
  <c r="AE10" i="1"/>
  <c r="AE11" i="1"/>
  <c r="AE3" i="1"/>
  <c r="O4" i="1"/>
  <c r="O5" i="1"/>
  <c r="O6" i="1"/>
  <c r="O7" i="1"/>
  <c r="O8" i="1"/>
  <c r="O9" i="1"/>
  <c r="O10" i="1"/>
  <c r="O11" i="1"/>
  <c r="O3" i="1"/>
  <c r="K4" i="1"/>
  <c r="K5" i="1"/>
  <c r="K6" i="1"/>
  <c r="K7" i="1"/>
  <c r="K8" i="1"/>
  <c r="K9" i="1"/>
  <c r="K10" i="1"/>
  <c r="K11" i="1"/>
  <c r="K3" i="1"/>
  <c r="W4" i="1"/>
  <c r="W3" i="1"/>
  <c r="AG4" i="1"/>
  <c r="AG5" i="1"/>
  <c r="AG6" i="1"/>
  <c r="AG7" i="1"/>
  <c r="AG8" i="1"/>
  <c r="AG9" i="1"/>
  <c r="AG10" i="1"/>
  <c r="AG11" i="1"/>
  <c r="AG3" i="1"/>
  <c r="Y4" i="1"/>
  <c r="Y5" i="1"/>
  <c r="Y6" i="1"/>
  <c r="Y8" i="1"/>
  <c r="Y9" i="1"/>
  <c r="Y10" i="1"/>
  <c r="Y3" i="1"/>
  <c r="Q4" i="1"/>
  <c r="Q5" i="1"/>
  <c r="Q6" i="1"/>
  <c r="Q7" i="1"/>
  <c r="Q8" i="1"/>
  <c r="Q9" i="1"/>
  <c r="Q10" i="1"/>
  <c r="Q11" i="1"/>
  <c r="Q3" i="1"/>
  <c r="M4" i="1"/>
  <c r="M5" i="1"/>
  <c r="M6" i="1"/>
  <c r="M7" i="1"/>
  <c r="M8" i="1"/>
  <c r="M9" i="1"/>
  <c r="M10" i="1"/>
  <c r="M11" i="1"/>
  <c r="M3" i="1"/>
</calcChain>
</file>

<file path=xl/sharedStrings.xml><?xml version="1.0" encoding="utf-8"?>
<sst xmlns="http://schemas.openxmlformats.org/spreadsheetml/2006/main" count="64" uniqueCount="28">
  <si>
    <t>Remind SSP2-PkBudg1150</t>
  </si>
  <si>
    <t>Remind SSP1-PkBudg500</t>
  </si>
  <si>
    <t>Remind SPP2-Npi</t>
  </si>
  <si>
    <t>Image SSP2-RCP26</t>
  </si>
  <si>
    <t>FK</t>
  </si>
  <si>
    <t>ICAO-F1</t>
  </si>
  <si>
    <t>ICAO-F2</t>
  </si>
  <si>
    <t>ICAO-F3</t>
  </si>
  <si>
    <t>Refuel-EU</t>
  </si>
  <si>
    <t>Bio-FT</t>
  </si>
  <si>
    <t>Bio-HEFA</t>
  </si>
  <si>
    <t>PtL-grid</t>
  </si>
  <si>
    <t>PtL-dedicated</t>
  </si>
  <si>
    <t>Scenarios</t>
  </si>
  <si>
    <t>Electricity (kWh)</t>
  </si>
  <si>
    <t>Biomass (MJ)</t>
  </si>
  <si>
    <t>Electricity (% of 2050 in underlying scenario)</t>
  </si>
  <si>
    <t>Biomass (% of 2050 in underlying scenario</t>
  </si>
  <si>
    <t>Land occupation (mega-km2)</t>
  </si>
  <si>
    <t>Land occupation (% of 2050 cropland area in underlying scenario)</t>
  </si>
  <si>
    <t>Freshwater withdrawal (km3)</t>
  </si>
  <si>
    <t>Freswhater withdrawal (% of 2050 freshwater withdrawn for irrigation in underlying scenario)</t>
  </si>
  <si>
    <t>Direct air capture (MtCO2)</t>
  </si>
  <si>
    <t>Direct air capture (% of 2050 DACCS in underlying scenario)</t>
  </si>
  <si>
    <t>Sheet</t>
  </si>
  <si>
    <t>Description</t>
  </si>
  <si>
    <t>Data</t>
  </si>
  <si>
    <t>Data displayed in Fig SI6 and Fig SI7
Results sensitivity to choice of IAM-SSP-RCP
Results are displayed in absolute terms (unit) and relative terms (% of resource in underlying scenario)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</si>
</sst>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NumberFormat="1"/>
    <xf numFmtId="9" fontId="0" fillId="0" borderId="1" xfId="1" applyFont="1" applyBorder="1"/>
    <xf numFmtId="0" fontId="0" fillId="0" borderId="6" xfId="1" applyNumberFormat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9" xfId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0" fillId="0" borderId="9" xfId="1" applyNumberFormat="1" applyFont="1" applyBorder="1"/>
    <xf numFmtId="11" fontId="0" fillId="0" borderId="5" xfId="1" applyNumberFormat="1" applyFont="1" applyBorder="1"/>
    <xf numFmtId="11" fontId="0" fillId="0" borderId="1" xfId="1" applyNumberFormat="1" applyFont="1" applyBorder="1"/>
    <xf numFmtId="11" fontId="0" fillId="0" borderId="6" xfId="1" applyNumberFormat="1" applyFont="1" applyBorder="1"/>
    <xf numFmtId="11" fontId="0" fillId="0" borderId="7" xfId="1" applyNumberFormat="1" applyFont="1" applyBorder="1"/>
    <xf numFmtId="11" fontId="0" fillId="0" borderId="8" xfId="1" applyNumberFormat="1" applyFont="1" applyBorder="1"/>
    <xf numFmtId="11" fontId="0" fillId="0" borderId="9" xfId="1" applyNumberFormat="1" applyFont="1" applyBorder="1"/>
    <xf numFmtId="11" fontId="4" fillId="0" borderId="6" xfId="0" applyNumberFormat="1" applyFont="1" applyBorder="1"/>
    <xf numFmtId="11" fontId="3" fillId="0" borderId="6" xfId="1" applyNumberFormat="1" applyFont="1" applyBorder="1"/>
    <xf numFmtId="11" fontId="3" fillId="0" borderId="9" xfId="1" applyNumberFormat="1" applyFont="1" applyBorder="1"/>
    <xf numFmtId="11" fontId="4" fillId="0" borderId="9" xfId="0" applyNumberFormat="1" applyFont="1" applyBorder="1"/>
    <xf numFmtId="11" fontId="4" fillId="0" borderId="5" xfId="0" applyNumberFormat="1" applyFont="1" applyBorder="1"/>
    <xf numFmtId="11" fontId="4" fillId="0" borderId="1" xfId="0" applyNumberFormat="1" applyFont="1" applyBorder="1"/>
    <xf numFmtId="11" fontId="3" fillId="0" borderId="5" xfId="1" applyNumberFormat="1" applyFont="1" applyBorder="1"/>
    <xf numFmtId="11" fontId="3" fillId="0" borderId="1" xfId="1" applyNumberFormat="1" applyFont="1" applyBorder="1"/>
    <xf numFmtId="11" fontId="4" fillId="0" borderId="7" xfId="0" applyNumberFormat="1" applyFont="1" applyBorder="1"/>
    <xf numFmtId="11" fontId="4" fillId="0" borderId="8" xfId="0" applyNumberFormat="1" applyFont="1" applyBorder="1"/>
    <xf numFmtId="11" fontId="3" fillId="0" borderId="7" xfId="1" applyNumberFormat="1" applyFont="1" applyBorder="1"/>
    <xf numFmtId="11" fontId="3" fillId="0" borderId="8" xfId="1" applyNumberFormat="1" applyFont="1" applyBorder="1"/>
    <xf numFmtId="0" fontId="2" fillId="0" borderId="10" xfId="0" applyNumberFormat="1" applyFont="1" applyBorder="1"/>
    <xf numFmtId="0" fontId="2" fillId="0" borderId="11" xfId="0" applyNumberFormat="1" applyFont="1" applyBorder="1"/>
    <xf numFmtId="0" fontId="2" fillId="0" borderId="12" xfId="0" applyNumberFormat="1" applyFont="1" applyBorder="1"/>
    <xf numFmtId="0" fontId="2" fillId="0" borderId="0" xfId="0" applyNumberFormat="1" applyFont="1"/>
    <xf numFmtId="0" fontId="2" fillId="0" borderId="5" xfId="0" applyNumberFormat="1" applyFont="1" applyBorder="1"/>
    <xf numFmtId="0" fontId="2" fillId="0" borderId="1" xfId="0" applyNumberFormat="1" applyFont="1" applyBorder="1"/>
    <xf numFmtId="0" fontId="2" fillId="0" borderId="6" xfId="0" applyNumberFormat="1" applyFont="1" applyBorder="1"/>
    <xf numFmtId="0" fontId="2" fillId="0" borderId="5" xfId="1" applyNumberFormat="1" applyFont="1" applyBorder="1"/>
    <xf numFmtId="0" fontId="2" fillId="0" borderId="1" xfId="1" applyNumberFormat="1" applyFont="1" applyBorder="1"/>
    <xf numFmtId="0" fontId="2" fillId="0" borderId="6" xfId="1" applyNumberFormat="1" applyFont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0" fontId="2" fillId="0" borderId="4" xfId="1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219075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2D89C40-28E8-45C3-8A8F-4A1521727A8D}"/>
            </a:ext>
          </a:extLst>
        </xdr:cNvPr>
        <xdr:cNvSpPr txBox="1"/>
      </xdr:nvSpPr>
      <xdr:spPr>
        <a:xfrm>
          <a:off x="0" y="0"/>
          <a:ext cx="5766435" cy="126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1574-CD30-4346-8090-DD39AACBC444}">
  <dimension ref="A9:B11"/>
  <sheetViews>
    <sheetView tabSelected="1" workbookViewId="0">
      <selection activeCell="B12" sqref="B12"/>
    </sheetView>
  </sheetViews>
  <sheetFormatPr baseColWidth="10" defaultRowHeight="15" x14ac:dyDescent="0.25"/>
  <cols>
    <col min="2" max="2" width="57.28515625" customWidth="1"/>
  </cols>
  <sheetData>
    <row r="9" spans="1:2" ht="15.75" thickBot="1" x14ac:dyDescent="0.3"/>
    <row r="10" spans="1:2" x14ac:dyDescent="0.25">
      <c r="A10" s="43" t="s">
        <v>24</v>
      </c>
      <c r="B10" s="42" t="s">
        <v>25</v>
      </c>
    </row>
    <row r="11" spans="1:2" ht="60.75" thickBot="1" x14ac:dyDescent="0.3">
      <c r="A11" s="40" t="s">
        <v>26</v>
      </c>
      <c r="B11" s="4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9076-CB13-4E19-80EA-F7F58C131AF4}">
  <dimension ref="A1:AO11"/>
  <sheetViews>
    <sheetView zoomScale="55" zoomScaleNormal="55" workbookViewId="0">
      <selection activeCell="R4" sqref="R4"/>
    </sheetView>
  </sheetViews>
  <sheetFormatPr baseColWidth="10" defaultColWidth="11.42578125" defaultRowHeight="15" x14ac:dyDescent="0.25"/>
  <cols>
    <col min="1" max="1" width="18.85546875" style="1" bestFit="1" customWidth="1"/>
    <col min="2" max="2" width="33.42578125" style="1" bestFit="1" customWidth="1"/>
    <col min="3" max="3" width="32.28515625" style="1" bestFit="1" customWidth="1"/>
    <col min="4" max="4" width="23.28515625" style="1" bestFit="1" customWidth="1"/>
    <col min="5" max="5" width="25.5703125" style="1" bestFit="1" customWidth="1"/>
    <col min="6" max="6" width="33.42578125" style="1" bestFit="1" customWidth="1"/>
    <col min="7" max="7" width="32.28515625" style="1" bestFit="1" customWidth="1"/>
    <col min="8" max="8" width="23.28515625" style="1" bestFit="1" customWidth="1"/>
    <col min="9" max="9" width="25.5703125" style="1" bestFit="1" customWidth="1"/>
    <col min="10" max="10" width="33.42578125" style="1" bestFit="1" customWidth="1"/>
    <col min="11" max="11" width="32.28515625" style="1" bestFit="1" customWidth="1"/>
    <col min="12" max="12" width="23.28515625" style="1" bestFit="1" customWidth="1"/>
    <col min="13" max="13" width="25.5703125" style="1" bestFit="1" customWidth="1"/>
    <col min="14" max="14" width="33.42578125" style="1" bestFit="1" customWidth="1"/>
    <col min="15" max="15" width="32.28515625" style="1" bestFit="1" customWidth="1"/>
    <col min="16" max="16" width="23.28515625" style="1" bestFit="1" customWidth="1"/>
    <col min="17" max="17" width="25.5703125" style="1" bestFit="1" customWidth="1"/>
    <col min="18" max="18" width="33.42578125" style="1" bestFit="1" customWidth="1"/>
    <col min="19" max="19" width="32.28515625" style="1" bestFit="1" customWidth="1"/>
    <col min="20" max="20" width="23.28515625" style="1" bestFit="1" customWidth="1"/>
    <col min="21" max="21" width="25.5703125" style="1" bestFit="1" customWidth="1"/>
    <col min="22" max="22" width="33.42578125" style="1" bestFit="1" customWidth="1"/>
    <col min="23" max="23" width="32.28515625" style="1" bestFit="1" customWidth="1"/>
    <col min="24" max="24" width="23.28515625" style="1" bestFit="1" customWidth="1"/>
    <col min="25" max="25" width="25.5703125" style="1" bestFit="1" customWidth="1"/>
    <col min="26" max="26" width="33.42578125" style="1" bestFit="1" customWidth="1"/>
    <col min="27" max="27" width="32.28515625" style="1" bestFit="1" customWidth="1"/>
    <col min="28" max="28" width="23.28515625" style="1" bestFit="1" customWidth="1"/>
    <col min="29" max="29" width="25.5703125" style="1" bestFit="1" customWidth="1"/>
    <col min="30" max="30" width="33.42578125" style="1" bestFit="1" customWidth="1"/>
    <col min="31" max="31" width="32.28515625" style="1" bestFit="1" customWidth="1"/>
    <col min="32" max="32" width="23.28515625" style="1" bestFit="1" customWidth="1"/>
    <col min="33" max="33" width="25.5703125" style="1" bestFit="1" customWidth="1"/>
    <col min="34" max="34" width="33.42578125" style="1" bestFit="1" customWidth="1"/>
    <col min="35" max="35" width="32.28515625" style="1" bestFit="1" customWidth="1"/>
    <col min="36" max="36" width="23.28515625" style="1" bestFit="1" customWidth="1"/>
    <col min="37" max="37" width="25.5703125" style="1" bestFit="1" customWidth="1"/>
    <col min="38" max="38" width="33.42578125" style="1" bestFit="1" customWidth="1"/>
    <col min="39" max="39" width="32.28515625" style="1" bestFit="1" customWidth="1"/>
    <col min="40" max="40" width="23.28515625" style="1" bestFit="1" customWidth="1"/>
    <col min="41" max="41" width="25.5703125" style="1" bestFit="1" customWidth="1"/>
    <col min="42" max="16384" width="11.42578125" style="1"/>
  </cols>
  <sheetData>
    <row r="1" spans="1:41" s="33" customFormat="1" x14ac:dyDescent="0.25">
      <c r="A1" s="30"/>
      <c r="B1" s="44" t="s">
        <v>14</v>
      </c>
      <c r="C1" s="45"/>
      <c r="D1" s="45"/>
      <c r="E1" s="46"/>
      <c r="F1" s="44" t="s">
        <v>15</v>
      </c>
      <c r="G1" s="45"/>
      <c r="H1" s="45"/>
      <c r="I1" s="46"/>
      <c r="J1" s="47" t="s">
        <v>16</v>
      </c>
      <c r="K1" s="48"/>
      <c r="L1" s="48"/>
      <c r="M1" s="49"/>
      <c r="N1" s="47" t="s">
        <v>17</v>
      </c>
      <c r="O1" s="48"/>
      <c r="P1" s="48"/>
      <c r="Q1" s="49"/>
      <c r="R1" s="44" t="s">
        <v>18</v>
      </c>
      <c r="S1" s="45"/>
      <c r="T1" s="45"/>
      <c r="U1" s="46"/>
      <c r="V1" s="44" t="s">
        <v>19</v>
      </c>
      <c r="W1" s="45"/>
      <c r="X1" s="45"/>
      <c r="Y1" s="46"/>
      <c r="Z1" s="44" t="s">
        <v>20</v>
      </c>
      <c r="AA1" s="45"/>
      <c r="AB1" s="45"/>
      <c r="AC1" s="46"/>
      <c r="AD1" s="44" t="s">
        <v>21</v>
      </c>
      <c r="AE1" s="45"/>
      <c r="AF1" s="45"/>
      <c r="AG1" s="46"/>
      <c r="AH1" s="44" t="s">
        <v>22</v>
      </c>
      <c r="AI1" s="45"/>
      <c r="AJ1" s="45"/>
      <c r="AK1" s="46"/>
      <c r="AL1" s="44" t="s">
        <v>23</v>
      </c>
      <c r="AM1" s="45"/>
      <c r="AN1" s="45"/>
      <c r="AO1" s="46"/>
    </row>
    <row r="2" spans="1:41" s="33" customFormat="1" x14ac:dyDescent="0.25">
      <c r="A2" s="31" t="s">
        <v>13</v>
      </c>
      <c r="B2" s="34" t="s">
        <v>0</v>
      </c>
      <c r="C2" s="35" t="s">
        <v>1</v>
      </c>
      <c r="D2" s="35" t="s">
        <v>2</v>
      </c>
      <c r="E2" s="36" t="s">
        <v>3</v>
      </c>
      <c r="F2" s="34" t="s">
        <v>0</v>
      </c>
      <c r="G2" s="35" t="s">
        <v>1</v>
      </c>
      <c r="H2" s="35" t="s">
        <v>2</v>
      </c>
      <c r="I2" s="36" t="s">
        <v>3</v>
      </c>
      <c r="J2" s="37" t="s">
        <v>0</v>
      </c>
      <c r="K2" s="38" t="s">
        <v>1</v>
      </c>
      <c r="L2" s="38" t="s">
        <v>2</v>
      </c>
      <c r="M2" s="39" t="s">
        <v>3</v>
      </c>
      <c r="N2" s="37" t="s">
        <v>0</v>
      </c>
      <c r="O2" s="38" t="s">
        <v>1</v>
      </c>
      <c r="P2" s="38" t="s">
        <v>2</v>
      </c>
      <c r="Q2" s="39" t="s">
        <v>3</v>
      </c>
      <c r="R2" s="34" t="s">
        <v>0</v>
      </c>
      <c r="S2" s="35" t="s">
        <v>1</v>
      </c>
      <c r="T2" s="35" t="s">
        <v>2</v>
      </c>
      <c r="U2" s="36" t="s">
        <v>3</v>
      </c>
      <c r="V2" s="34" t="s">
        <v>0</v>
      </c>
      <c r="W2" s="35" t="s">
        <v>1</v>
      </c>
      <c r="X2" s="35" t="s">
        <v>2</v>
      </c>
      <c r="Y2" s="36" t="s">
        <v>3</v>
      </c>
      <c r="Z2" s="34" t="s">
        <v>0</v>
      </c>
      <c r="AA2" s="35" t="s">
        <v>1</v>
      </c>
      <c r="AB2" s="35" t="s">
        <v>2</v>
      </c>
      <c r="AC2" s="36" t="s">
        <v>3</v>
      </c>
      <c r="AD2" s="34" t="s">
        <v>0</v>
      </c>
      <c r="AE2" s="35" t="s">
        <v>1</v>
      </c>
      <c r="AF2" s="35" t="s">
        <v>2</v>
      </c>
      <c r="AG2" s="36" t="s">
        <v>3</v>
      </c>
      <c r="AH2" s="34" t="s">
        <v>0</v>
      </c>
      <c r="AI2" s="35" t="s">
        <v>1</v>
      </c>
      <c r="AJ2" s="35" t="s">
        <v>2</v>
      </c>
      <c r="AK2" s="36" t="s">
        <v>3</v>
      </c>
      <c r="AL2" s="34" t="s">
        <v>0</v>
      </c>
      <c r="AM2" s="35" t="s">
        <v>1</v>
      </c>
      <c r="AN2" s="35" t="s">
        <v>2</v>
      </c>
      <c r="AO2" s="36" t="s">
        <v>3</v>
      </c>
    </row>
    <row r="3" spans="1:41" x14ac:dyDescent="0.25">
      <c r="A3" s="31" t="s">
        <v>4</v>
      </c>
      <c r="B3" s="22">
        <v>65531993633.3741</v>
      </c>
      <c r="C3" s="23">
        <v>66566927451.912498</v>
      </c>
      <c r="D3" s="23">
        <v>60701317826.310997</v>
      </c>
      <c r="E3" s="18">
        <v>50283678089.412003</v>
      </c>
      <c r="F3" s="24">
        <v>0</v>
      </c>
      <c r="G3" s="25">
        <v>0</v>
      </c>
      <c r="H3" s="25">
        <v>0</v>
      </c>
      <c r="I3" s="19">
        <v>0</v>
      </c>
      <c r="J3" s="4">
        <f>B3*0.0000000000036/198.4</f>
        <v>1.1890885941539654E-3</v>
      </c>
      <c r="K3" s="2">
        <f>C3*0.0000000000036/203</f>
        <v>1.1804972356004187E-3</v>
      </c>
      <c r="L3" s="2">
        <f>D3*0.0000000000036/186.5</f>
        <v>1.1717144459770488E-3</v>
      </c>
      <c r="M3" s="5">
        <f>E3*0.0000000000036/136.793</f>
        <v>1.3233224004289927E-3</v>
      </c>
      <c r="N3" s="4">
        <f>F3*0.000000000001/127.8</f>
        <v>0</v>
      </c>
      <c r="O3" s="2">
        <f>G3*0.000000000001/203.9</f>
        <v>0</v>
      </c>
      <c r="P3" s="2">
        <f>H3*0.000000000001/57.22</f>
        <v>0</v>
      </c>
      <c r="Q3" s="5">
        <f>I3*0.000000000001/84.471</f>
        <v>0</v>
      </c>
      <c r="R3" s="12">
        <v>8.0000000000000002E-3</v>
      </c>
      <c r="S3" s="13">
        <f>0.011</f>
        <v>1.0999999999999999E-2</v>
      </c>
      <c r="T3" s="13">
        <v>8.9999999999999993E-3</v>
      </c>
      <c r="U3" s="18">
        <f>0.01</f>
        <v>0.01</v>
      </c>
      <c r="V3" s="4">
        <f>R3/19.5724</f>
        <v>4.0873883632053302E-4</v>
      </c>
      <c r="W3" s="2">
        <f>S3/19.8427</f>
        <v>5.5436004172819213E-4</v>
      </c>
      <c r="X3" s="2">
        <f>T3/18.038</f>
        <v>4.9894666814502716E-4</v>
      </c>
      <c r="Y3" s="9">
        <f>U3/(15.2309)</f>
        <v>6.5656001943417653E-4</v>
      </c>
      <c r="Z3" s="12">
        <v>6.47</v>
      </c>
      <c r="AA3" s="13">
        <v>7.21</v>
      </c>
      <c r="AB3" s="13">
        <v>6.54</v>
      </c>
      <c r="AC3" s="18">
        <v>7.4459998646959704</v>
      </c>
      <c r="AD3" s="4">
        <f>Z3/3450</f>
        <v>1.8753623188405796E-3</v>
      </c>
      <c r="AE3" s="2">
        <f>AA3/3341</f>
        <v>2.1580365160131696E-3</v>
      </c>
      <c r="AF3" s="2">
        <f>AB3/3450</f>
        <v>1.8956521739130435E-3</v>
      </c>
      <c r="AG3" s="5">
        <f>AC3/3450</f>
        <v>2.1582608303466581E-3</v>
      </c>
      <c r="AH3" s="12">
        <v>0</v>
      </c>
      <c r="AI3" s="13">
        <v>0</v>
      </c>
      <c r="AJ3" s="13">
        <v>0</v>
      </c>
      <c r="AK3" s="14">
        <v>0</v>
      </c>
      <c r="AL3" s="4">
        <f>AH3/150.76</f>
        <v>0</v>
      </c>
      <c r="AM3" s="2">
        <f>AI3/194.87</f>
        <v>0</v>
      </c>
      <c r="AN3" s="2">
        <f>AJ3/34.3</f>
        <v>0</v>
      </c>
      <c r="AO3" s="3">
        <v>0</v>
      </c>
    </row>
    <row r="4" spans="1:41" x14ac:dyDescent="0.25">
      <c r="A4" s="31" t="s">
        <v>5</v>
      </c>
      <c r="B4" s="22">
        <v>1291532910995.3899</v>
      </c>
      <c r="C4" s="23">
        <v>1294589096488.55</v>
      </c>
      <c r="D4" s="23">
        <v>1232169085564.48</v>
      </c>
      <c r="E4" s="18">
        <v>1120750866036.8201</v>
      </c>
      <c r="F4" s="22">
        <v>3232860003654.3599</v>
      </c>
      <c r="G4" s="23">
        <v>3232860003654.3599</v>
      </c>
      <c r="H4" s="23">
        <v>3232860003654.3599</v>
      </c>
      <c r="I4" s="18">
        <v>3232860003654.3599</v>
      </c>
      <c r="J4" s="4">
        <f t="shared" ref="J4:J11" si="0">B4*0.0000000000036/198.4</f>
        <v>2.3435072981771186E-2</v>
      </c>
      <c r="K4" s="2">
        <f t="shared" ref="K4:K11" si="1">C4*0.0000000000036/203</f>
        <v>2.2958230282555569E-2</v>
      </c>
      <c r="L4" s="2">
        <f t="shared" ref="L4:L11" si="2">D4*0.0000000000036/186.5</f>
        <v>2.3784497094006048E-2</v>
      </c>
      <c r="M4" s="5">
        <f t="shared" ref="M4:M11" si="3">E4*0.0000000000036/136.793</f>
        <v>2.9494953087749753E-2</v>
      </c>
      <c r="N4" s="4">
        <f t="shared" ref="N4:N11" si="4">F4*0.000000000001/127.8</f>
        <v>2.5296244160049764E-2</v>
      </c>
      <c r="O4" s="2">
        <f t="shared" ref="O4:O11" si="5">G4*0.000000000001/203.9</f>
        <v>1.5855125079226876E-2</v>
      </c>
      <c r="P4" s="2">
        <f t="shared" ref="P4:P11" si="6">H4*0.000000000001/57.22</f>
        <v>5.6498776715385529E-2</v>
      </c>
      <c r="Q4" s="5">
        <f t="shared" ref="Q4:Q11" si="7">I4*0.000000000001/84.471</f>
        <v>3.8271832980009232E-2</v>
      </c>
      <c r="R4" s="12">
        <v>1.44</v>
      </c>
      <c r="S4" s="13">
        <f>1.49</f>
        <v>1.49</v>
      </c>
      <c r="T4" s="13">
        <v>1.478</v>
      </c>
      <c r="U4" s="18">
        <f>1.6267</f>
        <v>1.6267</v>
      </c>
      <c r="V4" s="4">
        <f t="shared" ref="V4:V11" si="8">R4/19.5724</f>
        <v>7.3572990537695948E-2</v>
      </c>
      <c r="W4" s="2">
        <f t="shared" ref="W4:W11" si="9">S4/19.8427</f>
        <v>7.5090587470455133E-2</v>
      </c>
      <c r="X4" s="2">
        <f t="shared" ref="X4:X11" si="10">T4/18.038</f>
        <v>8.1938130613150015E-2</v>
      </c>
      <c r="Y4" s="9">
        <f t="shared" ref="Y4:Y11" si="11">U4/(15.2309)</f>
        <v>0.1068026183613575</v>
      </c>
      <c r="Z4" s="12">
        <v>23.62</v>
      </c>
      <c r="AA4" s="13">
        <v>26.4</v>
      </c>
      <c r="AB4" s="13">
        <v>30.78</v>
      </c>
      <c r="AC4" s="18">
        <v>57.364853190498401</v>
      </c>
      <c r="AD4" s="4">
        <f t="shared" ref="AD4:AD11" si="12">Z4/3450</f>
        <v>6.8463768115942028E-3</v>
      </c>
      <c r="AE4" s="2">
        <f t="shared" ref="AE4:AE11" si="13">AA4/3341</f>
        <v>7.9018258006584852E-3</v>
      </c>
      <c r="AF4" s="2">
        <f t="shared" ref="AF4:AF11" si="14">AB4/3450</f>
        <v>8.9217391304347825E-3</v>
      </c>
      <c r="AG4" s="5">
        <f t="shared" ref="AG4:AG11" si="15">AC4/3450</f>
        <v>1.6627493678405332E-2</v>
      </c>
      <c r="AH4" s="12">
        <v>135.32</v>
      </c>
      <c r="AI4" s="13">
        <v>135.32</v>
      </c>
      <c r="AJ4" s="13">
        <v>135.32</v>
      </c>
      <c r="AK4" s="14">
        <v>135.32</v>
      </c>
      <c r="AL4" s="4">
        <f t="shared" ref="AL4:AL11" si="16">AH4/150.76</f>
        <v>0.89758556646325283</v>
      </c>
      <c r="AM4" s="2">
        <f t="shared" ref="AM4:AM11" si="17">AI4/194.87</f>
        <v>0.69441165905475444</v>
      </c>
      <c r="AN4" s="2">
        <f t="shared" ref="AN4:AN11" si="18">AJ4/34.3</f>
        <v>3.9451895043731779</v>
      </c>
      <c r="AO4" s="3">
        <v>0</v>
      </c>
    </row>
    <row r="5" spans="1:41" x14ac:dyDescent="0.25">
      <c r="A5" s="31" t="s">
        <v>6</v>
      </c>
      <c r="B5" s="22">
        <v>2854468874485.3101</v>
      </c>
      <c r="C5" s="23">
        <v>2854859867001.23</v>
      </c>
      <c r="D5" s="23">
        <v>2721008232272.5801</v>
      </c>
      <c r="E5" s="18">
        <v>2480578528961.3101</v>
      </c>
      <c r="F5" s="22">
        <v>9219521703566.1309</v>
      </c>
      <c r="G5" s="23">
        <v>9219521703566.1309</v>
      </c>
      <c r="H5" s="23">
        <v>9219521703566.1309</v>
      </c>
      <c r="I5" s="18">
        <v>9219521703566.1309</v>
      </c>
      <c r="J5" s="4">
        <f t="shared" si="0"/>
        <v>5.1794798125741517E-2</v>
      </c>
      <c r="K5" s="2">
        <f t="shared" si="1"/>
        <v>5.0628056754701611E-2</v>
      </c>
      <c r="L5" s="2">
        <f t="shared" si="2"/>
        <v>5.252348330392112E-2</v>
      </c>
      <c r="M5" s="5">
        <f t="shared" si="3"/>
        <v>6.5281722780118248E-2</v>
      </c>
      <c r="N5" s="4">
        <f t="shared" si="4"/>
        <v>7.214023242227019E-2</v>
      </c>
      <c r="O5" s="2">
        <f t="shared" si="5"/>
        <v>4.5215898497136489E-2</v>
      </c>
      <c r="P5" s="2">
        <f t="shared" si="6"/>
        <v>0.16112411226085513</v>
      </c>
      <c r="Q5" s="5">
        <f t="shared" si="7"/>
        <v>0.10914422350352346</v>
      </c>
      <c r="R5" s="12">
        <v>4.03</v>
      </c>
      <c r="S5" s="13">
        <f>4.13</f>
        <v>4.13</v>
      </c>
      <c r="T5" s="13">
        <v>4.1029999999999998</v>
      </c>
      <c r="U5" s="18">
        <f>4.43</f>
        <v>4.43</v>
      </c>
      <c r="V5" s="4">
        <f t="shared" si="8"/>
        <v>0.20590218879646852</v>
      </c>
      <c r="W5" s="2">
        <f t="shared" si="9"/>
        <v>0.20813699748522124</v>
      </c>
      <c r="X5" s="2">
        <f t="shared" si="10"/>
        <v>0.22746424215544958</v>
      </c>
      <c r="Y5" s="9">
        <f t="shared" si="11"/>
        <v>0.2908560886093402</v>
      </c>
      <c r="Z5" s="12">
        <v>51.63</v>
      </c>
      <c r="AA5" s="13">
        <v>56.96</v>
      </c>
      <c r="AB5" s="13">
        <v>67.37</v>
      </c>
      <c r="AC5" s="18">
        <v>126.517313884316</v>
      </c>
      <c r="AD5" s="4">
        <f t="shared" si="12"/>
        <v>1.4965217391304348E-2</v>
      </c>
      <c r="AE5" s="2">
        <f t="shared" si="13"/>
        <v>1.70487877880874E-2</v>
      </c>
      <c r="AF5" s="2">
        <f t="shared" si="14"/>
        <v>1.9527536231884059E-2</v>
      </c>
      <c r="AG5" s="5">
        <f t="shared" si="15"/>
        <v>3.6671685183859708E-2</v>
      </c>
      <c r="AH5" s="12">
        <v>304.39999999999998</v>
      </c>
      <c r="AI5" s="13">
        <v>304.39999999999998</v>
      </c>
      <c r="AJ5" s="13">
        <v>304.39999999999998</v>
      </c>
      <c r="AK5" s="14">
        <v>304.39999999999998</v>
      </c>
      <c r="AL5" s="4">
        <f t="shared" si="16"/>
        <v>2.0191032104006368</v>
      </c>
      <c r="AM5" s="2">
        <f t="shared" si="17"/>
        <v>1.562067019038333</v>
      </c>
      <c r="AN5" s="2">
        <f t="shared" si="18"/>
        <v>8.8746355685131189</v>
      </c>
      <c r="AO5" s="3">
        <v>0</v>
      </c>
    </row>
    <row r="6" spans="1:41" x14ac:dyDescent="0.25">
      <c r="A6" s="31" t="s">
        <v>7</v>
      </c>
      <c r="B6" s="22">
        <v>7855668189453.79</v>
      </c>
      <c r="C6" s="23">
        <v>7907169152834.1699</v>
      </c>
      <c r="D6" s="23">
        <v>7537280487345.8604</v>
      </c>
      <c r="E6" s="18">
        <v>6887108291183.4004</v>
      </c>
      <c r="F6" s="22">
        <v>7147900162773.25</v>
      </c>
      <c r="G6" s="23">
        <v>7147900162773.25</v>
      </c>
      <c r="H6" s="23">
        <v>7147900162773.25</v>
      </c>
      <c r="I6" s="18">
        <v>7147900162773.25</v>
      </c>
      <c r="J6" s="4">
        <f t="shared" si="0"/>
        <v>0.14254236634089537</v>
      </c>
      <c r="K6" s="2">
        <f t="shared" si="1"/>
        <v>0.14022565985321681</v>
      </c>
      <c r="L6" s="2">
        <f t="shared" si="2"/>
        <v>0.14549174131069759</v>
      </c>
      <c r="M6" s="5">
        <f t="shared" si="3"/>
        <v>0.18124896630865789</v>
      </c>
      <c r="N6" s="4">
        <f t="shared" si="4"/>
        <v>5.5930361211058294E-2</v>
      </c>
      <c r="O6" s="2">
        <f t="shared" si="5"/>
        <v>3.5055910557985528E-2</v>
      </c>
      <c r="P6" s="2">
        <f t="shared" si="6"/>
        <v>0.12491961137317809</v>
      </c>
      <c r="Q6" s="5">
        <f t="shared" si="7"/>
        <v>8.4619575508437808E-2</v>
      </c>
      <c r="R6" s="12">
        <v>3.77</v>
      </c>
      <c r="S6" s="13">
        <f>4.08</f>
        <v>4.08</v>
      </c>
      <c r="T6" s="13">
        <v>3.996</v>
      </c>
      <c r="U6" s="18">
        <f>4.96</f>
        <v>4.96</v>
      </c>
      <c r="V6" s="4">
        <f t="shared" si="8"/>
        <v>0.19261817661605118</v>
      </c>
      <c r="W6" s="2">
        <f t="shared" si="9"/>
        <v>0.20561717911372948</v>
      </c>
      <c r="X6" s="2">
        <f t="shared" si="10"/>
        <v>0.22153232065639206</v>
      </c>
      <c r="Y6" s="9">
        <f t="shared" si="11"/>
        <v>0.32565376963935155</v>
      </c>
      <c r="Z6" s="12">
        <v>72.5</v>
      </c>
      <c r="AA6" s="13">
        <v>87</v>
      </c>
      <c r="AB6" s="13">
        <v>121.47</v>
      </c>
      <c r="AC6" s="19">
        <v>294.89</v>
      </c>
      <c r="AD6" s="4">
        <f t="shared" si="12"/>
        <v>2.1014492753623187E-2</v>
      </c>
      <c r="AE6" s="2">
        <f t="shared" si="13"/>
        <v>2.604010775217001E-2</v>
      </c>
      <c r="AF6" s="2">
        <f t="shared" si="14"/>
        <v>3.520869565217391E-2</v>
      </c>
      <c r="AG6" s="5">
        <f t="shared" si="15"/>
        <v>8.5475362318840578E-2</v>
      </c>
      <c r="AH6" s="12">
        <v>884.75</v>
      </c>
      <c r="AI6" s="13">
        <v>884.75</v>
      </c>
      <c r="AJ6" s="13">
        <v>884.75</v>
      </c>
      <c r="AK6" s="14">
        <v>884.75</v>
      </c>
      <c r="AL6" s="4">
        <f t="shared" si="16"/>
        <v>5.868599097903954</v>
      </c>
      <c r="AM6" s="2">
        <f t="shared" si="17"/>
        <v>4.5402062913737362</v>
      </c>
      <c r="AN6" s="2">
        <f t="shared" si="18"/>
        <v>25.794460641399418</v>
      </c>
      <c r="AO6" s="3">
        <v>0</v>
      </c>
    </row>
    <row r="7" spans="1:41" x14ac:dyDescent="0.25">
      <c r="A7" s="31" t="s">
        <v>8</v>
      </c>
      <c r="B7" s="22">
        <v>5034671688018.0996</v>
      </c>
      <c r="C7" s="23">
        <v>5063573357661.7803</v>
      </c>
      <c r="D7" s="23">
        <v>4825988388590.6699</v>
      </c>
      <c r="E7" s="18">
        <v>4407153737252.7197</v>
      </c>
      <c r="F7" s="22">
        <v>6102119325935.21</v>
      </c>
      <c r="G7" s="23">
        <v>6102119325935.21</v>
      </c>
      <c r="H7" s="23">
        <v>6102119325935.21</v>
      </c>
      <c r="I7" s="18">
        <v>6102119325935.21</v>
      </c>
      <c r="J7" s="4">
        <f t="shared" si="0"/>
        <v>9.1354929822909062E-2</v>
      </c>
      <c r="K7" s="2">
        <f t="shared" si="1"/>
        <v>8.9797360037351767E-2</v>
      </c>
      <c r="L7" s="2">
        <f t="shared" si="2"/>
        <v>9.3155808037138924E-2</v>
      </c>
      <c r="M7" s="5">
        <f t="shared" si="3"/>
        <v>0.11598366476435044</v>
      </c>
      <c r="N7" s="4">
        <f t="shared" si="4"/>
        <v>4.7747412566003206E-2</v>
      </c>
      <c r="O7" s="2">
        <f t="shared" si="5"/>
        <v>2.9927019744655271E-2</v>
      </c>
      <c r="P7" s="2">
        <f t="shared" si="6"/>
        <v>0.10664311999187713</v>
      </c>
      <c r="Q7" s="5">
        <f t="shared" si="7"/>
        <v>7.2239222051771718E-2</v>
      </c>
      <c r="R7" s="12">
        <v>3</v>
      </c>
      <c r="S7" s="13">
        <f>3.19</f>
        <v>3.19</v>
      </c>
      <c r="T7" s="13">
        <v>3.14</v>
      </c>
      <c r="U7" s="18">
        <f>3.73</f>
        <v>3.73</v>
      </c>
      <c r="V7" s="4">
        <f t="shared" si="8"/>
        <v>0.15327706362019988</v>
      </c>
      <c r="W7" s="2">
        <f t="shared" si="9"/>
        <v>0.16076441210117573</v>
      </c>
      <c r="X7" s="2">
        <f t="shared" si="10"/>
        <v>0.1740769486639317</v>
      </c>
      <c r="Y7" s="9">
        <f t="shared" si="11"/>
        <v>0.24489688724894787</v>
      </c>
      <c r="Z7" s="12">
        <v>52.88</v>
      </c>
      <c r="AA7" s="13">
        <v>62.04</v>
      </c>
      <c r="AB7" s="13">
        <v>84.44</v>
      </c>
      <c r="AC7" s="19">
        <v>189.08</v>
      </c>
      <c r="AD7" s="4">
        <f t="shared" si="12"/>
        <v>1.5327536231884058E-2</v>
      </c>
      <c r="AE7" s="2">
        <f t="shared" si="13"/>
        <v>1.8569290631547442E-2</v>
      </c>
      <c r="AF7" s="2">
        <f t="shared" si="14"/>
        <v>2.4475362318840579E-2</v>
      </c>
      <c r="AG7" s="5">
        <f t="shared" si="15"/>
        <v>5.4805797101449276E-2</v>
      </c>
      <c r="AH7" s="12">
        <v>561.34</v>
      </c>
      <c r="AI7" s="13">
        <v>561.34</v>
      </c>
      <c r="AJ7" s="13">
        <v>561.34</v>
      </c>
      <c r="AK7" s="14">
        <v>561.34</v>
      </c>
      <c r="AL7" s="4">
        <f t="shared" si="16"/>
        <v>3.7234014327407805</v>
      </c>
      <c r="AM7" s="2">
        <f t="shared" si="17"/>
        <v>2.8805870580386927</v>
      </c>
      <c r="AN7" s="2">
        <f t="shared" si="18"/>
        <v>16.365597667638486</v>
      </c>
      <c r="AO7" s="3">
        <v>0</v>
      </c>
    </row>
    <row r="8" spans="1:41" x14ac:dyDescent="0.25">
      <c r="A8" s="31" t="s">
        <v>9</v>
      </c>
      <c r="B8" s="22">
        <v>341054013995.73798</v>
      </c>
      <c r="C8" s="23">
        <v>296057627532.47498</v>
      </c>
      <c r="D8" s="23">
        <v>283382402073.94897</v>
      </c>
      <c r="E8" s="18">
        <v>248018859508.29599</v>
      </c>
      <c r="F8" s="22">
        <v>17268330146701.699</v>
      </c>
      <c r="G8" s="23">
        <v>17268330146701.699</v>
      </c>
      <c r="H8" s="23">
        <v>17268330146701.699</v>
      </c>
      <c r="I8" s="18">
        <v>17268330146701.699</v>
      </c>
      <c r="J8" s="4">
        <f t="shared" si="0"/>
        <v>6.1884800926646005E-3</v>
      </c>
      <c r="K8" s="2">
        <f t="shared" si="1"/>
        <v>5.2502830498369953E-3</v>
      </c>
      <c r="L8" s="2">
        <f t="shared" si="2"/>
        <v>5.4701160722049136E-3</v>
      </c>
      <c r="M8" s="5">
        <f t="shared" si="3"/>
        <v>6.5271460837167507E-3</v>
      </c>
      <c r="N8" s="4">
        <f t="shared" si="4"/>
        <v>0.13511995419954381</v>
      </c>
      <c r="O8" s="2">
        <f t="shared" si="5"/>
        <v>8.4690191989709174E-2</v>
      </c>
      <c r="P8" s="2">
        <f t="shared" si="6"/>
        <v>0.30178836327685599</v>
      </c>
      <c r="Q8" s="5">
        <f t="shared" si="7"/>
        <v>0.20442909574530549</v>
      </c>
      <c r="R8" s="12">
        <v>7.01</v>
      </c>
      <c r="S8" s="13">
        <f>7.01</f>
        <v>7.01</v>
      </c>
      <c r="T8" s="13">
        <v>7.0069999999999997</v>
      </c>
      <c r="U8" s="18">
        <f>7.03</f>
        <v>7.03</v>
      </c>
      <c r="V8" s="4">
        <f t="shared" si="8"/>
        <v>0.35815740532586704</v>
      </c>
      <c r="W8" s="2">
        <f>S8/19.8427</f>
        <v>0.35327853568314793</v>
      </c>
      <c r="X8" s="2">
        <f t="shared" si="10"/>
        <v>0.38845770041024502</v>
      </c>
      <c r="Y8" s="9">
        <f t="shared" si="11"/>
        <v>0.46156169366222616</v>
      </c>
      <c r="Z8" s="12">
        <v>64.87</v>
      </c>
      <c r="AA8" s="13">
        <v>65.69</v>
      </c>
      <c r="AB8" s="13">
        <v>62.42</v>
      </c>
      <c r="AC8" s="19">
        <v>67.569999999999993</v>
      </c>
      <c r="AD8" s="4">
        <f t="shared" si="12"/>
        <v>1.8802898550724638E-2</v>
      </c>
      <c r="AE8" s="2">
        <f t="shared" si="13"/>
        <v>1.9661777910805148E-2</v>
      </c>
      <c r="AF8" s="2">
        <f t="shared" si="14"/>
        <v>1.8092753623188407E-2</v>
      </c>
      <c r="AG8" s="5">
        <f t="shared" si="15"/>
        <v>1.958550724637681E-2</v>
      </c>
      <c r="AH8" s="12">
        <v>0</v>
      </c>
      <c r="AI8" s="13">
        <v>0</v>
      </c>
      <c r="AJ8" s="13">
        <v>0</v>
      </c>
      <c r="AK8" s="14">
        <v>0</v>
      </c>
      <c r="AL8" s="4">
        <f t="shared" si="16"/>
        <v>0</v>
      </c>
      <c r="AM8" s="2">
        <f t="shared" si="17"/>
        <v>0</v>
      </c>
      <c r="AN8" s="2">
        <f t="shared" si="18"/>
        <v>0</v>
      </c>
      <c r="AO8" s="3">
        <v>0</v>
      </c>
    </row>
    <row r="9" spans="1:41" x14ac:dyDescent="0.25">
      <c r="A9" s="31" t="s">
        <v>10</v>
      </c>
      <c r="B9" s="22">
        <v>1231742018759.1201</v>
      </c>
      <c r="C9" s="23">
        <v>218710446711.005</v>
      </c>
      <c r="D9" s="23">
        <v>1168639550098.8999</v>
      </c>
      <c r="E9" s="18">
        <v>1039159093694.6801</v>
      </c>
      <c r="F9" s="22">
        <v>20955962395864.301</v>
      </c>
      <c r="G9" s="23">
        <v>20955962395864.301</v>
      </c>
      <c r="H9" s="23">
        <v>20955962395864.301</v>
      </c>
      <c r="I9" s="18">
        <v>20955962395864.301</v>
      </c>
      <c r="J9" s="4">
        <f t="shared" si="0"/>
        <v>2.2350157598451773E-2</v>
      </c>
      <c r="K9" s="2">
        <f t="shared" si="1"/>
        <v>3.8786089071902365E-3</v>
      </c>
      <c r="L9" s="2">
        <f t="shared" si="2"/>
        <v>2.2558189707002897E-2</v>
      </c>
      <c r="M9" s="5">
        <f t="shared" si="3"/>
        <v>2.7347691309503031E-2</v>
      </c>
      <c r="N9" s="4">
        <f t="shared" si="4"/>
        <v>0.16397466663430596</v>
      </c>
      <c r="O9" s="2">
        <f t="shared" si="5"/>
        <v>0.1027756861003644</v>
      </c>
      <c r="P9" s="2">
        <f t="shared" si="6"/>
        <v>0.36623492477917341</v>
      </c>
      <c r="Q9" s="5">
        <f t="shared" si="7"/>
        <v>0.24808469647410708</v>
      </c>
      <c r="R9" s="12">
        <v>7.8</v>
      </c>
      <c r="S9" s="13">
        <f>7.69</f>
        <v>7.69</v>
      </c>
      <c r="T9" s="13">
        <v>7.83</v>
      </c>
      <c r="U9" s="18">
        <f>7.94</f>
        <v>7.94</v>
      </c>
      <c r="V9" s="4">
        <f t="shared" si="8"/>
        <v>0.39852036541251967</v>
      </c>
      <c r="W9" s="2">
        <f t="shared" si="9"/>
        <v>0.38754806553543619</v>
      </c>
      <c r="X9" s="2">
        <f t="shared" si="10"/>
        <v>0.43408360128617363</v>
      </c>
      <c r="Y9" s="9">
        <f t="shared" si="11"/>
        <v>0.52130865543073623</v>
      </c>
      <c r="Z9" s="12">
        <v>282.42</v>
      </c>
      <c r="AA9" s="13">
        <v>290.04000000000002</v>
      </c>
      <c r="AB9" s="13">
        <v>284.19</v>
      </c>
      <c r="AC9" s="19">
        <v>306.02999999999997</v>
      </c>
      <c r="AD9" s="4">
        <f t="shared" si="12"/>
        <v>8.186086956521739E-2</v>
      </c>
      <c r="AE9" s="2">
        <f t="shared" si="13"/>
        <v>8.6812331637234369E-2</v>
      </c>
      <c r="AF9" s="2">
        <f t="shared" si="14"/>
        <v>8.2373913043478256E-2</v>
      </c>
      <c r="AG9" s="5">
        <f t="shared" si="15"/>
        <v>8.8704347826086952E-2</v>
      </c>
      <c r="AH9" s="12">
        <v>0</v>
      </c>
      <c r="AI9" s="13">
        <v>0</v>
      </c>
      <c r="AJ9" s="13">
        <v>0</v>
      </c>
      <c r="AK9" s="14">
        <v>0</v>
      </c>
      <c r="AL9" s="4">
        <f t="shared" si="16"/>
        <v>0</v>
      </c>
      <c r="AM9" s="2">
        <f t="shared" si="17"/>
        <v>0</v>
      </c>
      <c r="AN9" s="2">
        <f t="shared" si="18"/>
        <v>0</v>
      </c>
      <c r="AO9" s="3">
        <v>0</v>
      </c>
    </row>
    <row r="10" spans="1:41" x14ac:dyDescent="0.25">
      <c r="A10" s="31" t="s">
        <v>11</v>
      </c>
      <c r="B10" s="22">
        <v>13852131705799.5</v>
      </c>
      <c r="C10" s="23">
        <v>13978057773783.6</v>
      </c>
      <c r="D10" s="23">
        <v>13323261341864.699</v>
      </c>
      <c r="E10" s="18">
        <v>12182014141195.801</v>
      </c>
      <c r="F10" s="24">
        <v>0</v>
      </c>
      <c r="G10" s="25">
        <v>0</v>
      </c>
      <c r="H10" s="25">
        <v>0</v>
      </c>
      <c r="I10" s="19">
        <v>0</v>
      </c>
      <c r="J10" s="4">
        <f t="shared" si="0"/>
        <v>0.25134916401652319</v>
      </c>
      <c r="K10" s="2">
        <f t="shared" si="1"/>
        <v>0.24788673884542345</v>
      </c>
      <c r="L10" s="2">
        <f t="shared" si="2"/>
        <v>0.25717823501722742</v>
      </c>
      <c r="M10" s="5">
        <f t="shared" si="3"/>
        <v>0.32059572425712485</v>
      </c>
      <c r="N10" s="4">
        <f t="shared" si="4"/>
        <v>0</v>
      </c>
      <c r="O10" s="2">
        <f t="shared" si="5"/>
        <v>0</v>
      </c>
      <c r="P10" s="2">
        <f t="shared" si="6"/>
        <v>0</v>
      </c>
      <c r="Q10" s="5">
        <f t="shared" si="7"/>
        <v>0</v>
      </c>
      <c r="R10" s="12">
        <v>1.49</v>
      </c>
      <c r="S10" s="13">
        <f>2.01</f>
        <v>2.0099999999999998</v>
      </c>
      <c r="T10" s="13">
        <v>1.873</v>
      </c>
      <c r="U10" s="18">
        <f>3.53</f>
        <v>3.53</v>
      </c>
      <c r="V10" s="4">
        <f t="shared" si="8"/>
        <v>7.6127608264699276E-2</v>
      </c>
      <c r="W10" s="2">
        <f t="shared" si="9"/>
        <v>0.10129669853396965</v>
      </c>
      <c r="X10" s="2">
        <f t="shared" si="10"/>
        <v>0.10383634549284843</v>
      </c>
      <c r="Y10" s="9">
        <f t="shared" si="11"/>
        <v>0.2317656868602643</v>
      </c>
      <c r="Z10" s="12">
        <v>79.41</v>
      </c>
      <c r="AA10" s="13">
        <v>103.89</v>
      </c>
      <c r="AB10" s="13">
        <v>168.3</v>
      </c>
      <c r="AC10" s="19">
        <v>461.31</v>
      </c>
      <c r="AD10" s="4">
        <f t="shared" si="12"/>
        <v>2.3017391304347826E-2</v>
      </c>
      <c r="AE10" s="2">
        <f t="shared" si="13"/>
        <v>3.1095480395091291E-2</v>
      </c>
      <c r="AF10" s="2">
        <f t="shared" si="14"/>
        <v>4.878260869565218E-2</v>
      </c>
      <c r="AG10" s="5">
        <f t="shared" si="15"/>
        <v>0.13371304347826088</v>
      </c>
      <c r="AH10" s="12">
        <v>1588.52</v>
      </c>
      <c r="AI10" s="13">
        <v>1588.52</v>
      </c>
      <c r="AJ10" s="13">
        <v>1588.52</v>
      </c>
      <c r="AK10" s="14">
        <v>1588.52</v>
      </c>
      <c r="AL10" s="4">
        <f t="shared" si="16"/>
        <v>10.536747147784558</v>
      </c>
      <c r="AM10" s="2">
        <f t="shared" si="17"/>
        <v>8.1516908708369673</v>
      </c>
      <c r="AN10" s="2">
        <f t="shared" si="18"/>
        <v>46.312536443148694</v>
      </c>
      <c r="AO10" s="3">
        <v>0</v>
      </c>
    </row>
    <row r="11" spans="1:41" ht="15.75" thickBot="1" x14ac:dyDescent="0.3">
      <c r="A11" s="32" t="s">
        <v>12</v>
      </c>
      <c r="B11" s="26">
        <v>13420936857076.1</v>
      </c>
      <c r="C11" s="27">
        <v>13422390373453.199</v>
      </c>
      <c r="D11" s="27">
        <v>13397261105763.5</v>
      </c>
      <c r="E11" s="21">
        <v>13384084761196.1</v>
      </c>
      <c r="F11" s="28">
        <v>0</v>
      </c>
      <c r="G11" s="29">
        <v>0</v>
      </c>
      <c r="H11" s="29">
        <v>0</v>
      </c>
      <c r="I11" s="20">
        <v>0</v>
      </c>
      <c r="J11" s="6">
        <f t="shared" si="0"/>
        <v>0.24352506393888085</v>
      </c>
      <c r="K11" s="7">
        <f t="shared" si="1"/>
        <v>0.2380325386425198</v>
      </c>
      <c r="L11" s="7">
        <f t="shared" si="2"/>
        <v>0.25860664869034106</v>
      </c>
      <c r="M11" s="8">
        <f t="shared" si="3"/>
        <v>0.35223078037842548</v>
      </c>
      <c r="N11" s="6">
        <f t="shared" si="4"/>
        <v>0</v>
      </c>
      <c r="O11" s="7">
        <f t="shared" si="5"/>
        <v>0</v>
      </c>
      <c r="P11" s="7">
        <f t="shared" si="6"/>
        <v>0</v>
      </c>
      <c r="Q11" s="8">
        <f t="shared" si="7"/>
        <v>0</v>
      </c>
      <c r="R11" s="15">
        <v>0.63</v>
      </c>
      <c r="S11" s="16">
        <f>0.65</f>
        <v>0.65</v>
      </c>
      <c r="T11" s="16">
        <v>0.64200000000000002</v>
      </c>
      <c r="U11" s="21">
        <f>0.37</f>
        <v>0.37</v>
      </c>
      <c r="V11" s="6">
        <f t="shared" si="8"/>
        <v>3.2188183360241977E-2</v>
      </c>
      <c r="W11" s="7">
        <f t="shared" si="9"/>
        <v>3.2757638829393178E-2</v>
      </c>
      <c r="X11" s="7">
        <f t="shared" si="10"/>
        <v>3.559152899434527E-2</v>
      </c>
      <c r="Y11" s="10">
        <f t="shared" si="11"/>
        <v>2.4292720719064534E-2</v>
      </c>
      <c r="Z11" s="15">
        <v>34.200000000000003</v>
      </c>
      <c r="AA11" s="16">
        <v>35.21</v>
      </c>
      <c r="AB11" s="16">
        <v>34.6</v>
      </c>
      <c r="AC11" s="20">
        <v>45.55</v>
      </c>
      <c r="AD11" s="6">
        <f t="shared" si="12"/>
        <v>9.91304347826087E-3</v>
      </c>
      <c r="AE11" s="7">
        <f t="shared" si="13"/>
        <v>1.0538760850044897E-2</v>
      </c>
      <c r="AF11" s="7">
        <f t="shared" si="14"/>
        <v>1.0028985507246378E-2</v>
      </c>
      <c r="AG11" s="8">
        <f t="shared" si="15"/>
        <v>1.3202898550724637E-2</v>
      </c>
      <c r="AH11" s="15">
        <v>1588.52</v>
      </c>
      <c r="AI11" s="16">
        <v>1588.52</v>
      </c>
      <c r="AJ11" s="16">
        <v>1588.52</v>
      </c>
      <c r="AK11" s="17">
        <v>1588.52</v>
      </c>
      <c r="AL11" s="6">
        <f t="shared" si="16"/>
        <v>10.536747147784558</v>
      </c>
      <c r="AM11" s="7">
        <f t="shared" si="17"/>
        <v>8.1516908708369673</v>
      </c>
      <c r="AN11" s="7">
        <f t="shared" si="18"/>
        <v>46.312536443148694</v>
      </c>
      <c r="AO11" s="11">
        <v>0</v>
      </c>
    </row>
  </sheetData>
  <mergeCells count="10">
    <mergeCell ref="AD1:AG1"/>
    <mergeCell ref="AH1:AK1"/>
    <mergeCell ref="AL1:AO1"/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Fig_SI6_SI7</vt:lpstr>
      <vt:lpstr>Data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2024-07-03T18:47:37Z</dcterms:created>
  <dcterms:modified xsi:type="dcterms:W3CDTF">2024-11-05T14:21:27Z</dcterms:modified>
</cp:coreProperties>
</file>