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jarod\Downloads\"/>
    </mc:Choice>
  </mc:AlternateContent>
  <xr:revisionPtr revIDLastSave="0" documentId="13_ncr:1_{8CC6319B-C650-46EE-9420-05B319D190F2}" xr6:coauthVersionLast="44" xr6:coauthVersionMax="44" xr10:uidLastSave="{00000000-0000-0000-0000-000000000000}"/>
  <bookViews>
    <workbookView xWindow="-110" yWindow="-110" windowWidth="25820" windowHeight="15620" tabRatio="500" xr2:uid="{00000000-000D-0000-FFFF-FFFF00000000}"/>
  </bookViews>
  <sheets>
    <sheet name="Sheet1" sheetId="6" r:id="rId1"/>
    <sheet name="Sheet2" sheetId="7" r:id="rId2"/>
  </sheets>
  <definedNames>
    <definedName name="Ancilliary_Income">Sheet1!$C$20</definedName>
    <definedName name="Annual_Stock_Return">Sheet1!$C$31</definedName>
    <definedName name="Avg_20_yr_Appreciation">Sheet1!$C$28</definedName>
    <definedName name="Cost_of_Property">Sheet1!$C$5</definedName>
    <definedName name="Dividend_Yield">Sheet1!$C$30</definedName>
    <definedName name="Down_Payment">Sheet1!$C$6</definedName>
    <definedName name="Earnings_Before_Savings_Year_One">Sheet1!$E$19</definedName>
    <definedName name="Earnings_Before_Savings_Yearly">Sheet1!$E$39</definedName>
    <definedName name="Hurdle_Rate">Sheet1!$C$32</definedName>
    <definedName name="Inflation">Sheet1!$C$29</definedName>
    <definedName name="Insurance_Month">Sheet1!$C$15</definedName>
    <definedName name="Interest_Rate">Sheet1!$C$7</definedName>
    <definedName name="Length_Of_Mortage__Years">Sheet1!$C$8</definedName>
    <definedName name="Loan_Amount">Sheet1!$C$11</definedName>
    <definedName name="Maintenance_Month">Sheet1!$C$18</definedName>
    <definedName name="Monthly_Payment_on_Loan">Sheet1!$C$12</definedName>
    <definedName name="Net_Income">Sheet1!$F$43</definedName>
    <definedName name="Net_Income_Year_One">Sheet1!$F$23</definedName>
    <definedName name="Number_of_Units">Sheet1!$C$25</definedName>
    <definedName name="Property_Management_Cost">Sheet1!$C$21</definedName>
    <definedName name="Rehab_Cost">Sheet1!$C$22</definedName>
    <definedName name="Rent_Per_Unit">Sheet1!$C$23</definedName>
    <definedName name="Replacement_Resrves">Sheet1!$C$19</definedName>
    <definedName name="Taxes_Month">Sheet1!$C$16</definedName>
    <definedName name="Total_Down_Payment">Sheet1!$C$10</definedName>
    <definedName name="Total_Expenses_Year_One">Sheet1!$F$17</definedName>
    <definedName name="Total_Expenses_Yearly">Sheet1!$F$37</definedName>
    <definedName name="Total_Revenue">Sheet1!$F$28</definedName>
    <definedName name="Total_Revenue_Year_One">Sheet1!$F$6</definedName>
    <definedName name="Unit_Type">Sheet1!$C$26</definedName>
    <definedName name="Utilities_Month">Sheet1!$C$17</definedName>
    <definedName name="Vacancy">Sheet1!$C$14</definedName>
    <definedName name="Year_One_Savings">Sheet1!$F$21</definedName>
    <definedName name="Yearly_Savings">Sheet1!$F$41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11" i="7"/>
  <c r="D12" i="7"/>
  <c r="D13" i="7"/>
  <c r="B4" i="7"/>
  <c r="B5" i="7"/>
  <c r="K9" i="6"/>
  <c r="L9" i="6"/>
  <c r="M9" i="6"/>
  <c r="M3" i="6"/>
  <c r="L3" i="6"/>
  <c r="K3" i="6"/>
  <c r="J3" i="6"/>
  <c r="I3" i="6"/>
  <c r="F27" i="6"/>
  <c r="F5" i="6"/>
  <c r="F35" i="6"/>
  <c r="F33" i="6"/>
  <c r="F32" i="6"/>
  <c r="F31" i="6"/>
  <c r="F30" i="6"/>
  <c r="F14" i="6"/>
  <c r="F12" i="6"/>
  <c r="F11" i="6"/>
  <c r="F10" i="6"/>
  <c r="F9" i="6"/>
  <c r="F8" i="6"/>
  <c r="F4" i="6"/>
  <c r="C10" i="6"/>
  <c r="J9" i="6"/>
  <c r="I9" i="6"/>
  <c r="C4" i="7"/>
  <c r="C5" i="7"/>
  <c r="B6" i="7"/>
  <c r="E5" i="7"/>
  <c r="E4" i="7"/>
  <c r="F6" i="6"/>
  <c r="F13" i="6"/>
  <c r="C6" i="7"/>
  <c r="B7" i="7"/>
  <c r="E6" i="7"/>
  <c r="F26" i="6"/>
  <c r="F28" i="6"/>
  <c r="B8" i="7"/>
  <c r="E7" i="7"/>
  <c r="C7" i="7"/>
  <c r="F34" i="6"/>
  <c r="C8" i="7"/>
  <c r="B9" i="7"/>
  <c r="E8" i="7"/>
  <c r="B10" i="7"/>
  <c r="E9" i="7"/>
  <c r="C9" i="7"/>
  <c r="C10" i="7"/>
  <c r="B11" i="7"/>
  <c r="E10" i="7"/>
  <c r="C11" i="7"/>
  <c r="B12" i="7"/>
  <c r="E11" i="7"/>
  <c r="B13" i="7"/>
  <c r="E13" i="7"/>
  <c r="E12" i="7"/>
  <c r="C12" i="7"/>
  <c r="C13" i="7"/>
  <c r="C11" i="6"/>
  <c r="H14" i="6"/>
  <c r="F15" i="6"/>
  <c r="H15" i="6"/>
  <c r="J14" i="6"/>
  <c r="I14" i="6"/>
  <c r="M14" i="6"/>
  <c r="K14" i="6"/>
  <c r="L14" i="6"/>
  <c r="H13" i="6"/>
  <c r="C12" i="6"/>
  <c r="L4" i="6"/>
  <c r="L5" i="6"/>
  <c r="L6" i="6"/>
  <c r="K4" i="6"/>
  <c r="K5" i="6"/>
  <c r="K6" i="6"/>
  <c r="J4" i="6"/>
  <c r="J5" i="6"/>
  <c r="J6" i="6"/>
  <c r="I4" i="6"/>
  <c r="I5" i="6"/>
  <c r="I6" i="6"/>
  <c r="M4" i="6"/>
  <c r="M5" i="6"/>
  <c r="M6" i="6"/>
  <c r="F16" i="6"/>
  <c r="F17" i="6"/>
  <c r="E19" i="6"/>
  <c r="C17" i="7"/>
  <c r="C18" i="7"/>
  <c r="C19" i="7"/>
  <c r="C20" i="7"/>
  <c r="C21" i="7"/>
  <c r="C22" i="7"/>
  <c r="C23" i="7"/>
  <c r="C24" i="7"/>
  <c r="C25" i="7"/>
  <c r="C26" i="7"/>
  <c r="F36" i="6"/>
  <c r="F37" i="6"/>
  <c r="E39" i="6"/>
  <c r="H12" i="6"/>
  <c r="M13" i="6"/>
  <c r="J13" i="6"/>
  <c r="I13" i="6"/>
  <c r="L13" i="6"/>
  <c r="K13" i="6"/>
  <c r="H16" i="6"/>
  <c r="K15" i="6"/>
  <c r="L15" i="6"/>
  <c r="J15" i="6"/>
  <c r="M15" i="6"/>
  <c r="I15" i="6"/>
  <c r="H17" i="6"/>
  <c r="L16" i="6"/>
  <c r="M16" i="6"/>
  <c r="J16" i="6"/>
  <c r="I16" i="6"/>
  <c r="K16" i="6"/>
  <c r="H11" i="6"/>
  <c r="L12" i="6"/>
  <c r="M12" i="6"/>
  <c r="J12" i="6"/>
  <c r="I12" i="6"/>
  <c r="K12" i="6"/>
  <c r="F21" i="6"/>
  <c r="F23" i="6"/>
  <c r="F41" i="6"/>
  <c r="F43" i="6"/>
  <c r="B39" i="6"/>
  <c r="H5" i="7"/>
  <c r="H6" i="7"/>
  <c r="H7" i="7"/>
  <c r="H8" i="7"/>
  <c r="H9" i="7"/>
  <c r="H10" i="7"/>
  <c r="H11" i="7"/>
  <c r="H12" i="7"/>
  <c r="H13" i="7"/>
  <c r="B35" i="6"/>
  <c r="H4" i="7"/>
  <c r="G4" i="7"/>
  <c r="H10" i="6"/>
  <c r="K11" i="6"/>
  <c r="J11" i="6"/>
  <c r="L11" i="6"/>
  <c r="I11" i="6"/>
  <c r="M11" i="6"/>
  <c r="H18" i="6"/>
  <c r="M17" i="6"/>
  <c r="J17" i="6"/>
  <c r="I17" i="6"/>
  <c r="L17" i="6"/>
  <c r="K17" i="6"/>
  <c r="G5" i="7"/>
  <c r="F4" i="7"/>
  <c r="J18" i="6"/>
  <c r="I18" i="6"/>
  <c r="K18" i="6"/>
  <c r="L18" i="6"/>
  <c r="M18" i="6"/>
  <c r="J10" i="6"/>
  <c r="I10" i="6"/>
  <c r="K10" i="6"/>
  <c r="L10" i="6"/>
  <c r="M10" i="6"/>
  <c r="G6" i="7"/>
  <c r="F5" i="7"/>
  <c r="G7" i="7"/>
  <c r="F6" i="7"/>
  <c r="G8" i="7"/>
  <c r="F7" i="7"/>
  <c r="G9" i="7"/>
  <c r="F8" i="7"/>
  <c r="G10" i="7"/>
  <c r="F9" i="7"/>
  <c r="G11" i="7"/>
  <c r="F10" i="7"/>
  <c r="G12" i="7"/>
  <c r="F11" i="7"/>
  <c r="G13" i="7"/>
  <c r="F13" i="7"/>
  <c r="F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Jarod</author>
  </authors>
  <commentList>
    <comment ref="B3" authorId="0" shapeId="0" xr:uid="{BFA2D4D3-579E-483B-BB28-FDBFC7B5F546}">
      <text>
        <r>
          <rPr>
            <b/>
            <sz val="9"/>
            <color indexed="81"/>
            <rFont val="Tahoma"/>
            <family val="2"/>
          </rPr>
          <t>Jarod:</t>
        </r>
        <r>
          <rPr>
            <sz val="9"/>
            <color indexed="81"/>
            <rFont val="Tahoma"/>
            <family val="2"/>
          </rPr>
          <t xml:space="preserve">
This is the nominal home value given the average appreciation rate for the area over the past 20 years.</t>
        </r>
      </text>
    </comment>
    <comment ref="D3" authorId="0" shapeId="0" xr:uid="{B9013B07-D48C-49C8-AF82-37840A6FD798}">
      <text>
        <r>
          <rPr>
            <b/>
            <sz val="9"/>
            <color indexed="81"/>
            <rFont val="Tahoma"/>
            <family val="2"/>
          </rPr>
          <t>Jarod:</t>
        </r>
        <r>
          <rPr>
            <sz val="9"/>
            <color indexed="81"/>
            <rFont val="Tahoma"/>
            <family val="2"/>
          </rPr>
          <t xml:space="preserve">
This is the projected home value simply due to average nation wide inflation. (Aprx. 3.22% annually)</t>
        </r>
      </text>
    </comment>
    <comment ref="E3" authorId="0" shapeId="0" xr:uid="{AC355E44-5665-4D8B-8B89-BF7F72FE4372}">
      <text>
        <r>
          <rPr>
            <b/>
            <sz val="9"/>
            <color indexed="81"/>
            <rFont val="Tahoma"/>
            <family val="2"/>
          </rPr>
          <t>Jarod:</t>
        </r>
        <r>
          <rPr>
            <sz val="9"/>
            <color indexed="81"/>
            <rFont val="Tahoma"/>
            <family val="2"/>
          </rPr>
          <t xml:space="preserve">
This number is important, as it shows the actual amount of purchasing power you have gained or lost over the period.</t>
        </r>
      </text>
    </comment>
    <comment ref="F3" authorId="0" shapeId="0" xr:uid="{BD643243-0488-4AC5-B834-D11E8998E4A5}">
      <text>
        <r>
          <rPr>
            <b/>
            <sz val="9"/>
            <color indexed="81"/>
            <rFont val="Tahoma"/>
            <family val="2"/>
          </rPr>
          <t>Jarod:</t>
        </r>
        <r>
          <rPr>
            <sz val="9"/>
            <color indexed="81"/>
            <rFont val="Tahoma"/>
            <family val="2"/>
          </rPr>
          <t xml:space="preserve">
This formula is a bit complex and hard to follow. Essentially, what it does is it tracks the the various ways you earn money from real estate…
-Appreciation (less inflation)
-Equity Gained from paying off your loan
-The initial down payment
-Money collected as rent (less operating expenses and replacement reserves)</t>
        </r>
      </text>
    </comment>
    <comment ref="G3" authorId="0" shapeId="0" xr:uid="{93E2ADBC-7A1F-4AB1-AD29-019BA637DD20}">
      <text>
        <r>
          <rPr>
            <b/>
            <sz val="9"/>
            <color indexed="81"/>
            <rFont val="Tahoma"/>
            <family val="2"/>
          </rPr>
          <t>Jarod:</t>
        </r>
        <r>
          <rPr>
            <sz val="9"/>
            <color indexed="81"/>
            <rFont val="Tahoma"/>
            <family val="2"/>
          </rPr>
          <t xml:space="preserve">
This formula does not assume any raises in rent.</t>
        </r>
      </text>
    </comment>
    <comment ref="H3" authorId="0" shapeId="0" xr:uid="{2166FF01-D232-4E0C-8EF0-EA8F1451AAEE}">
      <text>
        <r>
          <rPr>
            <b/>
            <sz val="9"/>
            <color indexed="81"/>
            <rFont val="Tahoma"/>
            <family val="2"/>
          </rPr>
          <t>Jarod:</t>
        </r>
        <r>
          <rPr>
            <sz val="9"/>
            <color indexed="81"/>
            <rFont val="Tahoma"/>
            <family val="2"/>
          </rPr>
          <t xml:space="preserve">
Formula not yet 100% accurate as it assumes that net income incresases at a rate of 3.22 percent (inflation).</t>
        </r>
      </text>
    </comment>
    <comment ref="C16" authorId="0" shapeId="0" xr:uid="{85A699A1-DA89-4126-9A9B-9D6BAD5B2F21}">
      <text>
        <r>
          <rPr>
            <b/>
            <sz val="9"/>
            <color indexed="81"/>
            <rFont val="Tahoma"/>
            <family val="2"/>
          </rPr>
          <t>Jarod:</t>
        </r>
        <r>
          <rPr>
            <sz val="9"/>
            <color indexed="81"/>
            <rFont val="Tahoma"/>
            <family val="2"/>
          </rPr>
          <t xml:space="preserve">
This formula needs to be fine tuned. The numbers are a bit high as they assume that dividends are issued monthly. They should be issued quarterly. I need to find a way to allow for the monthly investment as well as the quarterly dividend reinvestment.
</t>
        </r>
      </text>
    </comment>
  </commentList>
</comments>
</file>

<file path=xl/sharedStrings.xml><?xml version="1.0" encoding="utf-8"?>
<sst xmlns="http://schemas.openxmlformats.org/spreadsheetml/2006/main" count="92" uniqueCount="66">
  <si>
    <t>Inputs</t>
  </si>
  <si>
    <t>Start at the top and enter inputs</t>
  </si>
  <si>
    <t>Financing Inputs</t>
  </si>
  <si>
    <t>Cost of Property</t>
  </si>
  <si>
    <t>Down Payment (%)</t>
  </si>
  <si>
    <t>Interest Rate (%)</t>
  </si>
  <si>
    <t>Length Of Mortage (Years)</t>
  </si>
  <si>
    <t>Financing Info</t>
  </si>
  <si>
    <t>Total Down Payment</t>
  </si>
  <si>
    <t>Loan Amount</t>
  </si>
  <si>
    <t>Monthly Payment on Loan</t>
  </si>
  <si>
    <t>Property Assumptions</t>
  </si>
  <si>
    <t>Vacancy %</t>
  </si>
  <si>
    <t>Insurance/Month</t>
  </si>
  <si>
    <t>Taxes/Month</t>
  </si>
  <si>
    <t>Utilities/Month</t>
  </si>
  <si>
    <t>Maintenance/Month</t>
  </si>
  <si>
    <t>Replacement Resrves (%)</t>
  </si>
  <si>
    <t>Ancilliary Income</t>
  </si>
  <si>
    <t>PM Cost</t>
  </si>
  <si>
    <t>Rehab Cost</t>
  </si>
  <si>
    <t>Rent Per Unit</t>
  </si>
  <si>
    <t>Property Inputs</t>
  </si>
  <si>
    <t>Number of Units</t>
  </si>
  <si>
    <t>Unit Type</t>
  </si>
  <si>
    <t>ROI Assumptions</t>
  </si>
  <si>
    <t>Avg 20 yr Appreciation</t>
  </si>
  <si>
    <t>Inflation</t>
  </si>
  <si>
    <t>Dividend Yield</t>
  </si>
  <si>
    <t>Annual Stock Return</t>
  </si>
  <si>
    <t>Hurdle Rate</t>
  </si>
  <si>
    <t>Income Statement Year One</t>
  </si>
  <si>
    <t>Revenue</t>
  </si>
  <si>
    <t>Rental Income</t>
  </si>
  <si>
    <t>Total Revenue</t>
  </si>
  <si>
    <t>Expenses</t>
  </si>
  <si>
    <t>Insurance</t>
  </si>
  <si>
    <t>Taxes</t>
  </si>
  <si>
    <t>Utilities</t>
  </si>
  <si>
    <t>Maintenance</t>
  </si>
  <si>
    <t>Vacancy</t>
  </si>
  <si>
    <t>Down Payment</t>
  </si>
  <si>
    <t>Loan Payments</t>
  </si>
  <si>
    <t>Total Expenses</t>
  </si>
  <si>
    <t>Total After Expenses</t>
  </si>
  <si>
    <t>Savings</t>
  </si>
  <si>
    <t>Replacement Reserve</t>
  </si>
  <si>
    <t>Net Income</t>
  </si>
  <si>
    <t xml:space="preserve">Income Statement </t>
  </si>
  <si>
    <t xml:space="preserve">Yearly ROI </t>
  </si>
  <si>
    <t>ROI Year One</t>
  </si>
  <si>
    <t>Interest Rate</t>
  </si>
  <si>
    <t>Payment Amount</t>
  </si>
  <si>
    <t>Total Payments</t>
  </si>
  <si>
    <t>Total Interest</t>
  </si>
  <si>
    <t>Projected Home Value</t>
  </si>
  <si>
    <t>Year</t>
  </si>
  <si>
    <t>Estimated Home Value</t>
  </si>
  <si>
    <t>Nominal Cumulative Increase</t>
  </si>
  <si>
    <t>Value w/Inflation</t>
  </si>
  <si>
    <t>Home Real Cumulative Increase</t>
  </si>
  <si>
    <t xml:space="preserve"> Cumulative Equity</t>
  </si>
  <si>
    <t>Cumulative NI</t>
  </si>
  <si>
    <t>Estimated Stock Value</t>
  </si>
  <si>
    <t>Projected Stock Value</t>
  </si>
  <si>
    <t>Fourplex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</si>
</sst>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&quot;$&quot;#,##0"/>
    <numFmt numFmtId="167" formatCode="_([$$-409]* #,##0_);_([$$-409]* \(#,##0\);_([$$-409]* &quot;-&quot;??_);_(@_)"/>
    <numFmt numFmtId="168" formatCode="0.0%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7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79">
    <xf numFmtId="0" fontId="0" fillId="0" borderId="0" xfId="0"/>
    <xf numFmtId="0" fontId="0" fillId="0" borderId="7" xfId="0" applyBorder="1"/>
    <xf numFmtId="44" fontId="0" fillId="0" borderId="8" xfId="468" applyFont="1" applyBorder="1"/>
    <xf numFmtId="0" fontId="0" fillId="0" borderId="9" xfId="0" applyBorder="1"/>
    <xf numFmtId="9" fontId="0" fillId="0" borderId="8" xfId="469" applyFont="1" applyBorder="1"/>
    <xf numFmtId="10" fontId="0" fillId="0" borderId="8" xfId="469" applyNumberFormat="1" applyFont="1" applyBorder="1"/>
    <xf numFmtId="0" fontId="0" fillId="0" borderId="10" xfId="0" applyBorder="1"/>
    <xf numFmtId="0" fontId="0" fillId="0" borderId="4" xfId="0" applyBorder="1"/>
    <xf numFmtId="44" fontId="0" fillId="0" borderId="4" xfId="468" applyFont="1" applyBorder="1"/>
    <xf numFmtId="9" fontId="0" fillId="0" borderId="7" xfId="469" applyFont="1" applyBorder="1"/>
    <xf numFmtId="44" fontId="0" fillId="0" borderId="9" xfId="468" applyFont="1" applyBorder="1"/>
    <xf numFmtId="9" fontId="0" fillId="0" borderId="9" xfId="469" applyFont="1" applyBorder="1"/>
    <xf numFmtId="44" fontId="0" fillId="0" borderId="10" xfId="468" applyFont="1" applyBorder="1"/>
    <xf numFmtId="0" fontId="0" fillId="0" borderId="8" xfId="0" applyBorder="1"/>
    <xf numFmtId="10" fontId="0" fillId="0" borderId="7" xfId="469" applyNumberFormat="1" applyFont="1" applyBorder="1"/>
    <xf numFmtId="10" fontId="0" fillId="0" borderId="9" xfId="469" applyNumberFormat="1" applyFont="1" applyBorder="1"/>
    <xf numFmtId="10" fontId="0" fillId="0" borderId="10" xfId="469" applyNumberFormat="1" applyFont="1" applyBorder="1"/>
    <xf numFmtId="44" fontId="0" fillId="0" borderId="2" xfId="468" applyFont="1" applyBorder="1"/>
    <xf numFmtId="44" fontId="0" fillId="0" borderId="7" xfId="468" applyFont="1" applyBorder="1"/>
    <xf numFmtId="165" fontId="0" fillId="0" borderId="9" xfId="0" applyNumberFormat="1" applyBorder="1"/>
    <xf numFmtId="44" fontId="0" fillId="0" borderId="10" xfId="0" applyNumberFormat="1" applyBorder="1"/>
    <xf numFmtId="0" fontId="0" fillId="0" borderId="11" xfId="0" applyBorder="1"/>
    <xf numFmtId="44" fontId="6" fillId="0" borderId="4" xfId="468" applyFont="1" applyBorder="1"/>
    <xf numFmtId="10" fontId="0" fillId="0" borderId="5" xfId="469" applyNumberFormat="1" applyFont="1" applyBorder="1"/>
    <xf numFmtId="10" fontId="1" fillId="0" borderId="11" xfId="469" applyNumberFormat="1" applyFont="1" applyBorder="1"/>
    <xf numFmtId="10" fontId="6" fillId="0" borderId="11" xfId="469" applyNumberFormat="1" applyFont="1" applyBorder="1"/>
    <xf numFmtId="10" fontId="1" fillId="0" borderId="6" xfId="469" applyNumberFormat="1" applyFont="1" applyBorder="1"/>
    <xf numFmtId="44" fontId="6" fillId="0" borderId="7" xfId="468" applyFont="1" applyBorder="1"/>
    <xf numFmtId="44" fontId="6" fillId="0" borderId="9" xfId="468" applyFont="1" applyBorder="1"/>
    <xf numFmtId="44" fontId="6" fillId="0" borderId="10" xfId="468" applyFont="1" applyBorder="1"/>
    <xf numFmtId="44" fontId="0" fillId="0" borderId="11" xfId="468" applyFont="1" applyBorder="1"/>
    <xf numFmtId="44" fontId="1" fillId="0" borderId="9" xfId="468" applyFont="1" applyBorder="1"/>
    <xf numFmtId="8" fontId="0" fillId="0" borderId="9" xfId="468" applyNumberFormat="1" applyFont="1" applyBorder="1"/>
    <xf numFmtId="44" fontId="1" fillId="0" borderId="10" xfId="468" applyFont="1" applyBorder="1"/>
    <xf numFmtId="8" fontId="0" fillId="0" borderId="10" xfId="468" applyNumberFormat="1" applyFont="1" applyBorder="1"/>
    <xf numFmtId="44" fontId="1" fillId="0" borderId="7" xfId="468" applyFont="1" applyBorder="1"/>
    <xf numFmtId="8" fontId="0" fillId="0" borderId="7" xfId="468" applyNumberFormat="1" applyFont="1" applyBorder="1"/>
    <xf numFmtId="8" fontId="9" fillId="0" borderId="9" xfId="468" applyNumberFormat="1" applyFont="1" applyBorder="1"/>
    <xf numFmtId="166" fontId="0" fillId="0" borderId="7" xfId="468" applyNumberFormat="1" applyFont="1" applyBorder="1"/>
    <xf numFmtId="166" fontId="0" fillId="0" borderId="9" xfId="468" applyNumberFormat="1" applyFont="1" applyBorder="1"/>
    <xf numFmtId="166" fontId="0" fillId="0" borderId="10" xfId="468" applyNumberFormat="1" applyFont="1" applyBorder="1"/>
    <xf numFmtId="0" fontId="0" fillId="0" borderId="9" xfId="0" applyFont="1" applyBorder="1"/>
    <xf numFmtId="166" fontId="0" fillId="0" borderId="7" xfId="0" applyNumberFormat="1" applyFont="1" applyBorder="1"/>
    <xf numFmtId="166" fontId="0" fillId="0" borderId="9" xfId="0" applyNumberFormat="1" applyFont="1" applyBorder="1"/>
    <xf numFmtId="166" fontId="0" fillId="0" borderId="13" xfId="0" applyNumberFormat="1" applyFont="1" applyBorder="1"/>
    <xf numFmtId="0" fontId="0" fillId="0" borderId="10" xfId="0" applyFont="1" applyBorder="1"/>
    <xf numFmtId="166" fontId="0" fillId="0" borderId="10" xfId="0" applyNumberFormat="1" applyFont="1" applyBorder="1"/>
    <xf numFmtId="166" fontId="0" fillId="0" borderId="3" xfId="0" applyNumberFormat="1" applyFont="1" applyBorder="1"/>
    <xf numFmtId="0" fontId="16" fillId="2" borderId="11" xfId="0" applyFont="1" applyFill="1" applyBorder="1"/>
    <xf numFmtId="0" fontId="16" fillId="2" borderId="6" xfId="0" applyFont="1" applyFill="1" applyBorder="1"/>
    <xf numFmtId="165" fontId="0" fillId="0" borderId="0" xfId="0" applyNumberFormat="1" applyBorder="1"/>
    <xf numFmtId="0" fontId="16" fillId="0" borderId="0" xfId="0" applyFont="1" applyFill="1" applyBorder="1"/>
    <xf numFmtId="0" fontId="11" fillId="0" borderId="0" xfId="0" applyFont="1" applyFill="1" applyBorder="1" applyAlignment="1"/>
    <xf numFmtId="167" fontId="0" fillId="0" borderId="7" xfId="0" applyNumberFormat="1" applyBorder="1"/>
    <xf numFmtId="167" fontId="0" fillId="0" borderId="9" xfId="0" applyNumberFormat="1" applyBorder="1"/>
    <xf numFmtId="167" fontId="0" fillId="0" borderId="10" xfId="0" applyNumberFormat="1" applyBorder="1"/>
    <xf numFmtId="168" fontId="0" fillId="0" borderId="9" xfId="469" applyNumberFormat="1" applyFont="1" applyBorder="1"/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44" fontId="0" fillId="0" borderId="5" xfId="468" applyFont="1" applyBorder="1" applyAlignment="1">
      <alignment horizontal="center"/>
    </xf>
    <xf numFmtId="44" fontId="0" fillId="0" borderId="6" xfId="468" applyFont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10" fontId="10" fillId="0" borderId="1" xfId="469" applyNumberFormat="1" applyFont="1" applyBorder="1" applyAlignment="1">
      <alignment horizontal="center"/>
    </xf>
    <xf numFmtId="10" fontId="10" fillId="0" borderId="2" xfId="469" applyNumberFormat="1" applyFont="1" applyBorder="1" applyAlignment="1">
      <alignment horizontal="center"/>
    </xf>
    <xf numFmtId="10" fontId="10" fillId="0" borderId="3" xfId="469" applyNumberFormat="1" applyFont="1" applyBorder="1" applyAlignment="1">
      <alignment horizontal="center"/>
    </xf>
    <xf numFmtId="10" fontId="10" fillId="0" borderId="4" xfId="469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</cellXfs>
  <cellStyles count="470">
    <cellStyle name="Currency" xfId="468" builtinId="4"/>
    <cellStyle name="Currency 2" xfId="4" xr:uid="{00000000-0005-0000-0000-000000000000}"/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Normal" xfId="0" builtinId="0"/>
    <cellStyle name="Normal 2" xfId="3" xr:uid="{00000000-0005-0000-0000-0000D3010000}"/>
    <cellStyle name="Normal 3 2" xfId="467" xr:uid="{00000000-0005-0000-0000-0000D4010000}"/>
    <cellStyle name="Percent" xfId="469" builtinId="5"/>
  </cellStyles>
  <dxfs count="2">
    <dxf>
      <fill>
        <patternFill>
          <bgColor rgb="FFC00000"/>
        </patternFill>
      </fill>
    </dxf>
    <dxf>
      <fill>
        <patternFill>
          <bgColor theme="9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Opportunity Cost Stocks VS Real Estate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Sheet2!$C$16</c:f>
              <c:strCache>
                <c:ptCount val="1"/>
                <c:pt idx="0">
                  <c:v>Estimated Stock Value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Sheet2!$C$17:$C$26</c:f>
              <c:numCache>
                <c:formatCode>_([$$-409]* #,##0_);_([$$-409]* \(#,##0\);_([$$-409]* "-"??_);_(@_)</c:formatCode>
                <c:ptCount val="10"/>
                <c:pt idx="0">
                  <c:v>129498.32173118574</c:v>
                </c:pt>
                <c:pt idx="1">
                  <c:v>172893.77159170341</c:v>
                </c:pt>
                <c:pt idx="2">
                  <c:v>220570.86231502541</c:v>
                </c:pt>
                <c:pt idx="3">
                  <c:v>272952.04483868001</c:v>
                </c:pt>
                <c:pt idx="4">
                  <c:v>330501.45150233468</c:v>
                </c:pt>
                <c:pt idx="5">
                  <c:v>393729.00857100298</c:v>
                </c:pt>
                <c:pt idx="6">
                  <c:v>463194.95452308294</c:v>
                </c:pt>
                <c:pt idx="7">
                  <c:v>539514.80413828383</c:v>
                </c:pt>
                <c:pt idx="8">
                  <c:v>623364.80237058271</c:v>
                </c:pt>
                <c:pt idx="9">
                  <c:v>715487.91633117653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0-47AF-96F9-E6A3FD7E1ADD}"/>
            </c:ext>
          </c:extLst>
        </c:ser>
        <c:ser>
          <c:idx val="0"/>
          <c:order val="1"/>
          <c:tx>
            <c:strRef>
              <c:f>Sheet2!$F$3</c:f>
              <c:strCache>
                <c:ptCount val="1"/>
                <c:pt idx="0">
                  <c:v> Cumulative Equity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Sheet2!$F$4:$F$13</c:f>
              <c:numCache>
                <c:formatCode>"$"#,##0</c:formatCode>
                <c:ptCount val="10"/>
                <c:pt idx="0">
                  <c:v>68376.607358147143</c:v>
                </c:pt>
                <c:pt idx="1">
                  <c:v>134185.25076029508</c:v>
                </c:pt>
                <c:pt idx="2">
                  <c:v>202820.63745920011</c:v>
                </c:pt>
                <c:pt idx="3">
                  <c:v>274419.07793374761</c:v>
                </c:pt>
                <c:pt idx="4">
                  <c:v>349124.06795211066</c:v>
                </c:pt>
                <c:pt idx="5">
                  <c:v>427086.68989618367</c:v>
                </c:pt>
                <c:pt idx="6">
                  <c:v>508466.03726721217</c:v>
                </c:pt>
                <c:pt idx="7">
                  <c:v>593429.66373626736</c:v>
                </c:pt>
                <c:pt idx="8">
                  <c:v>682154.05818420276</c:v>
                </c:pt>
                <c:pt idx="9">
                  <c:v>774825.14726155356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0-47AF-96F9-E6A3FD7E1A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326912"/>
        <c:axId val="561321008"/>
      </c:barChart>
      <c:catAx>
        <c:axId val="56132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21008"/>
        <c:crosses val="autoZero"/>
        <c:auto val="1"/>
        <c:lblAlgn val="ctr"/>
        <c:lblOffset val="100"/>
        <c:noMultiLvlLbl val="0"/>
      </c:catAx>
      <c:valAx>
        <c:axId val="5613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574562189254394"/>
          <c:y val="0.89989468297594877"/>
          <c:w val="0.53461711755508656"/>
          <c:h val="7.075521220224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19</xdr:row>
          <xdr:rowOff>0</xdr:rowOff>
        </xdr:from>
        <xdr:to>
          <xdr:col>12</xdr:col>
          <xdr:colOff>1009650</xdr:colOff>
          <xdr:row>42</xdr:row>
          <xdr:rowOff>69850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14</xdr:row>
      <xdr:rowOff>66675</xdr:rowOff>
    </xdr:from>
    <xdr:to>
      <xdr:col>7</xdr:col>
      <xdr:colOff>447675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24559-85DB-4C55-8A6C-8DF05B83CBF6}">
  <dimension ref="B1:M43"/>
  <sheetViews>
    <sheetView tabSelected="1" workbookViewId="0">
      <selection activeCell="B24" sqref="B24:C24"/>
    </sheetView>
  </sheetViews>
  <sheetFormatPr defaultRowHeight="15.5" x14ac:dyDescent="0.35"/>
  <cols>
    <col min="1" max="1" width="2" customWidth="1"/>
    <col min="2" max="2" width="22.08203125" customWidth="1"/>
    <col min="3" max="3" width="13.08203125" customWidth="1"/>
    <col min="4" max="4" width="5.5" customWidth="1"/>
    <col min="5" max="5" width="18.75" bestFit="1" customWidth="1"/>
    <col min="6" max="6" width="13.75" bestFit="1" customWidth="1"/>
    <col min="7" max="7" width="2.58203125" customWidth="1"/>
    <col min="8" max="8" width="14.83203125" customWidth="1"/>
    <col min="9" max="9" width="14.75" bestFit="1" customWidth="1"/>
    <col min="10" max="11" width="12.08203125" bestFit="1" customWidth="1"/>
    <col min="12" max="12" width="12.33203125" customWidth="1"/>
    <col min="13" max="13" width="14.25" customWidth="1"/>
    <col min="14" max="14" width="12.08203125" bestFit="1" customWidth="1"/>
  </cols>
  <sheetData>
    <row r="1" spans="2:13" ht="4.5" customHeight="1" thickBot="1" x14ac:dyDescent="0.4"/>
    <row r="2" spans="2:13" ht="19.5" customHeight="1" thickBot="1" x14ac:dyDescent="0.55000000000000004">
      <c r="B2" s="74" t="s">
        <v>0</v>
      </c>
      <c r="C2" s="75"/>
      <c r="E2" s="59" t="s">
        <v>31</v>
      </c>
      <c r="F2" s="60"/>
      <c r="H2" s="69" t="s">
        <v>51</v>
      </c>
      <c r="I2" s="70"/>
      <c r="J2" s="70"/>
      <c r="K2" s="70"/>
      <c r="L2" s="70"/>
      <c r="M2" s="71"/>
    </row>
    <row r="3" spans="2:13" ht="15.75" customHeight="1" thickBot="1" x14ac:dyDescent="0.4">
      <c r="B3" s="72" t="s">
        <v>1</v>
      </c>
      <c r="C3" s="73"/>
      <c r="E3" s="57" t="s">
        <v>32</v>
      </c>
      <c r="F3" s="58"/>
      <c r="H3" s="23"/>
      <c r="I3" s="24">
        <f>Interest_Rate-0.005</f>
        <v>2.2499999999999999E-2</v>
      </c>
      <c r="J3" s="24">
        <f>Interest_Rate-0.0025</f>
        <v>2.5000000000000001E-2</v>
      </c>
      <c r="K3" s="25">
        <f>Interest_Rate</f>
        <v>2.75E-2</v>
      </c>
      <c r="L3" s="24">
        <f>Interest_Rate+0.0025</f>
        <v>0.03</v>
      </c>
      <c r="M3" s="26">
        <f>Interest_Rate + 0.005</f>
        <v>3.2500000000000001E-2</v>
      </c>
    </row>
    <row r="4" spans="2:13" ht="16" thickBot="1" x14ac:dyDescent="0.4">
      <c r="B4" s="57" t="s">
        <v>2</v>
      </c>
      <c r="C4" s="58"/>
      <c r="E4" s="1" t="s">
        <v>33</v>
      </c>
      <c r="F4" s="17">
        <f>Number_of_Units*Rent_Per_Unit*12</f>
        <v>105600</v>
      </c>
      <c r="H4" s="1" t="s">
        <v>52</v>
      </c>
      <c r="I4" s="18">
        <f>-PMT(I3/12,Length_Of_Mortage__Years*12,Loan_Amount,0,0)</f>
        <v>2358.3051714809944</v>
      </c>
      <c r="J4" s="18">
        <f>-PMT(J3/12,Length_Of_Mortage__Years*12,Loan_Amount,0,0)</f>
        <v>2400.4411524323509</v>
      </c>
      <c r="K4" s="27">
        <f>-PMT(K3/12,Length_Of_Mortage__Years*12,Loan_Amount,0,0)</f>
        <v>2443.0378947336303</v>
      </c>
      <c r="L4" s="18">
        <f>-PMT(L3/12,Length_Of_Mortage__Years*12,Loan_Amount,0,0)</f>
        <v>2486.0939050007642</v>
      </c>
      <c r="M4" s="2">
        <f>-PMT(M3/12,Length_Of_Mortage__Years*12,Loan_Amount,0,0)</f>
        <v>2529.6075681115785</v>
      </c>
    </row>
    <row r="5" spans="2:13" x14ac:dyDescent="0.35">
      <c r="B5" s="1" t="s">
        <v>3</v>
      </c>
      <c r="C5" s="2">
        <v>450000</v>
      </c>
      <c r="E5" s="3" t="s">
        <v>18</v>
      </c>
      <c r="F5" s="2">
        <f>Ancilliary_Income*12</f>
        <v>1200</v>
      </c>
      <c r="H5" s="3" t="s">
        <v>53</v>
      </c>
      <c r="I5" s="10">
        <f>(I4*Length_Of_Mortage__Years*12)</f>
        <v>424494.93086657906</v>
      </c>
      <c r="J5" s="10">
        <f>(J4*Length_Of_Mortage__Years*12)</f>
        <v>432079.40743782313</v>
      </c>
      <c r="K5" s="28">
        <f>(K4*Length_Of_Mortage__Years*12)</f>
        <v>439746.82105205348</v>
      </c>
      <c r="L5" s="10">
        <f>(L4*Length_Of_Mortage__Years*12)</f>
        <v>447496.90290013753</v>
      </c>
      <c r="M5" s="2">
        <f>(M4*Length_Of_Mortage__Years*12)</f>
        <v>455329.36226008413</v>
      </c>
    </row>
    <row r="6" spans="2:13" ht="16" thickBot="1" x14ac:dyDescent="0.4">
      <c r="B6" s="3" t="s">
        <v>4</v>
      </c>
      <c r="C6" s="4">
        <v>0.2</v>
      </c>
      <c r="E6" s="6" t="s">
        <v>34</v>
      </c>
      <c r="F6" s="8">
        <f>SUM(F4:F5)</f>
        <v>106800</v>
      </c>
      <c r="H6" s="6" t="s">
        <v>54</v>
      </c>
      <c r="I6" s="12">
        <f>I5-Loan_Amount</f>
        <v>64494.93086657906</v>
      </c>
      <c r="J6" s="12">
        <f>J5-Loan_Amount</f>
        <v>72079.407437823131</v>
      </c>
      <c r="K6" s="29">
        <f>K5-Loan_Amount</f>
        <v>79746.821052053478</v>
      </c>
      <c r="L6" s="12">
        <f>L5-Loan_Amount</f>
        <v>87496.902900137531</v>
      </c>
      <c r="M6" s="8">
        <f>M5-Loan_Amount</f>
        <v>95329.362260084134</v>
      </c>
    </row>
    <row r="7" spans="2:13" ht="16" thickBot="1" x14ac:dyDescent="0.4">
      <c r="B7" s="3" t="s">
        <v>5</v>
      </c>
      <c r="C7" s="5">
        <v>2.75E-2</v>
      </c>
      <c r="E7" s="57" t="s">
        <v>35</v>
      </c>
      <c r="F7" s="58"/>
    </row>
    <row r="8" spans="2:13" ht="16" thickBot="1" x14ac:dyDescent="0.4">
      <c r="B8" s="6" t="s">
        <v>6</v>
      </c>
      <c r="C8" s="7">
        <v>15</v>
      </c>
      <c r="E8" s="1" t="s">
        <v>36</v>
      </c>
      <c r="F8" s="18">
        <f>Insurance_Month*12</f>
        <v>24000</v>
      </c>
      <c r="H8" s="69" t="s">
        <v>51</v>
      </c>
      <c r="I8" s="70"/>
      <c r="J8" s="70"/>
      <c r="K8" s="70"/>
      <c r="L8" s="70"/>
      <c r="M8" s="71"/>
    </row>
    <row r="9" spans="2:13" ht="16" thickBot="1" x14ac:dyDescent="0.4">
      <c r="B9" s="57" t="s">
        <v>7</v>
      </c>
      <c r="C9" s="58"/>
      <c r="E9" s="3" t="s">
        <v>37</v>
      </c>
      <c r="F9" s="10">
        <f>Taxes_Month*12</f>
        <v>6000</v>
      </c>
      <c r="H9" s="30" t="s">
        <v>9</v>
      </c>
      <c r="I9" s="24">
        <f>J9-0.0025</f>
        <v>2.2500000000000003E-2</v>
      </c>
      <c r="J9" s="24">
        <f>K9-0.0025</f>
        <v>2.5000000000000001E-2</v>
      </c>
      <c r="K9" s="25">
        <f>Interest_Rate</f>
        <v>2.75E-2</v>
      </c>
      <c r="L9" s="24">
        <f>K9+0.0025</f>
        <v>0.03</v>
      </c>
      <c r="M9" s="26">
        <f>L9+0.0025</f>
        <v>3.2500000000000001E-2</v>
      </c>
    </row>
    <row r="10" spans="2:13" x14ac:dyDescent="0.35">
      <c r="B10" s="1" t="s">
        <v>8</v>
      </c>
      <c r="C10" s="2">
        <f>Cost_of_Property*Down_Payment</f>
        <v>90000</v>
      </c>
      <c r="E10" s="3" t="s">
        <v>38</v>
      </c>
      <c r="F10" s="10">
        <f>Utilities_Month*12</f>
        <v>0</v>
      </c>
      <c r="H10" s="35">
        <f>H11-5000</f>
        <v>340000</v>
      </c>
      <c r="I10" s="36">
        <f>-PMT(I$9/12,Length_Of_Mortage__Years*12,$H$10,0,0)</f>
        <v>2227.288217509828</v>
      </c>
      <c r="J10" s="36">
        <f>-PMT(J$9/12,Length_Of_Mortage__Years*12,$H$10,0,0)</f>
        <v>2267.0833106305536</v>
      </c>
      <c r="K10" s="36">
        <f>-PMT(K$9/12,Length_Of_Mortage__Years*12,$H$10,0,0)</f>
        <v>2307.3135672484286</v>
      </c>
      <c r="L10" s="36">
        <f>-PMT(L$9/12,Length_Of_Mortage__Years*12,$H$10,0,0)</f>
        <v>2347.9775769451662</v>
      </c>
      <c r="M10" s="36">
        <f>-PMT(M$9/12,Length_Of_Mortage__Years*12,$H$10,0,0)</f>
        <v>2389.0738143276021</v>
      </c>
    </row>
    <row r="11" spans="2:13" x14ac:dyDescent="0.35">
      <c r="B11" s="3" t="s">
        <v>9</v>
      </c>
      <c r="C11" s="2">
        <f>Cost_of_Property-Total_Down_Payment+Rehab_Cost</f>
        <v>360000</v>
      </c>
      <c r="E11" s="3" t="s">
        <v>39</v>
      </c>
      <c r="F11" s="10">
        <f>Maintenance_Month*12</f>
        <v>6000</v>
      </c>
      <c r="H11" s="31">
        <f>H12-5000</f>
        <v>345000</v>
      </c>
      <c r="I11" s="32">
        <f>-PMT(I$9/12,Length_Of_Mortage__Years*12,$H$11,0,0)</f>
        <v>2260.0424560026195</v>
      </c>
      <c r="J11" s="32">
        <f>-PMT(J$9/12,Length_Of_Mortage__Years*12,$H$11,0,0)</f>
        <v>2300.4227710810028</v>
      </c>
      <c r="K11" s="32">
        <f>-PMT(K$9/12,Length_Of_Mortage__Years*12,$H$11,0,0)</f>
        <v>2341.2446491197293</v>
      </c>
      <c r="L11" s="32">
        <f>-PMT(L$9/12,Length_Of_Mortage__Years*12,$H$11,0,0)</f>
        <v>2382.5066589590656</v>
      </c>
      <c r="M11" s="32">
        <f>-PMT(M$9/12,Length_Of_Mortage__Years*12,$H$11,0,0)</f>
        <v>2424.2072527735963</v>
      </c>
    </row>
    <row r="12" spans="2:13" ht="16" thickBot="1" x14ac:dyDescent="0.4">
      <c r="B12" s="6" t="s">
        <v>10</v>
      </c>
      <c r="C12" s="8">
        <f>IFERROR(PMT(Interest_Rate/12,Length_Of_Mortage__Years*12,Loan_Amount,0,0),0)</f>
        <v>-2443.0378947336303</v>
      </c>
      <c r="E12" s="3" t="s">
        <v>20</v>
      </c>
      <c r="F12" s="10">
        <f>Rehab_Cost</f>
        <v>0</v>
      </c>
      <c r="H12" s="31">
        <f>H13-5000</f>
        <v>350000</v>
      </c>
      <c r="I12" s="32">
        <f>-PMT(I$9/12,Length_Of_Mortage__Years*12,$H$12,0,0)</f>
        <v>2292.796694495411</v>
      </c>
      <c r="J12" s="32">
        <f>-PMT(J$9/12,Length_Of_Mortage__Years*12,$H$12,0,0)</f>
        <v>2333.762231531452</v>
      </c>
      <c r="K12" s="32">
        <f>-PMT(K$9/12,Length_Of_Mortage__Years*12,$H$12,0,0)</f>
        <v>2375.1757309910295</v>
      </c>
      <c r="L12" s="32">
        <f>-PMT(L$9/12,Length_Of_Mortage__Years*12,$H$12,0,0)</f>
        <v>2417.0357409729654</v>
      </c>
      <c r="M12" s="32">
        <f>-PMT(M$9/12,Length_Of_Mortage__Years*12,$H$12,0,0)</f>
        <v>2459.3406912195901</v>
      </c>
    </row>
    <row r="13" spans="2:13" ht="16" thickBot="1" x14ac:dyDescent="0.4">
      <c r="B13" s="57" t="s">
        <v>11</v>
      </c>
      <c r="C13" s="58"/>
      <c r="E13" s="3" t="s">
        <v>40</v>
      </c>
      <c r="F13" s="10">
        <f>Vacancy*F4</f>
        <v>5280</v>
      </c>
      <c r="H13" s="31">
        <f>H14-5000</f>
        <v>355000</v>
      </c>
      <c r="I13" s="32">
        <f>-PMT(I$9/12,Length_Of_Mortage__Years*12,$H$13,0,0)</f>
        <v>2325.5509329882029</v>
      </c>
      <c r="J13" s="32">
        <f>-PMT(J$9/12,Length_Of_Mortage__Years*12,$H$13,0,0)</f>
        <v>2367.1016919819017</v>
      </c>
      <c r="K13" s="32">
        <f>-PMT(K$9/12,Length_Of_Mortage__Years*12,$H$13,0,0)</f>
        <v>2409.1068128623301</v>
      </c>
      <c r="L13" s="32">
        <f>-PMT(L$9/12,Length_Of_Mortage__Years*12,$H$13,0,0)</f>
        <v>2451.5648229868648</v>
      </c>
      <c r="M13" s="32">
        <f>-PMT(M$9/12,Length_Of_Mortage__Years*12,$H$13,0,0)</f>
        <v>2494.4741296655843</v>
      </c>
    </row>
    <row r="14" spans="2:13" x14ac:dyDescent="0.35">
      <c r="B14" s="1" t="s">
        <v>12</v>
      </c>
      <c r="C14" s="9">
        <v>0.05</v>
      </c>
      <c r="E14" s="3" t="s">
        <v>19</v>
      </c>
      <c r="F14" s="19">
        <f>Property_Management_Cost*12</f>
        <v>0</v>
      </c>
      <c r="H14" s="28">
        <f>Loan_Amount</f>
        <v>360000</v>
      </c>
      <c r="I14" s="32">
        <f>-PMT(I$9/12,Length_Of_Mortage__Years*12,$H$14,0,0)</f>
        <v>2358.3051714809944</v>
      </c>
      <c r="J14" s="32">
        <f>-PMT(J$9/12,Length_Of_Mortage__Years*12,$H$14,0,0)</f>
        <v>2400.4411524323509</v>
      </c>
      <c r="K14" s="37">
        <f>-PMT(K$9/12,Length_Of_Mortage__Years*12,$H$14,0,0)</f>
        <v>2443.0378947336303</v>
      </c>
      <c r="L14" s="32">
        <f>-PMT(L$9/12,Length_Of_Mortage__Years*12,$H$14,0,0)</f>
        <v>2486.0939050007642</v>
      </c>
      <c r="M14" s="32">
        <f>-PMT(M$9/12,Length_Of_Mortage__Years*12,$H$14,0,0)</f>
        <v>2529.6075681115785</v>
      </c>
    </row>
    <row r="15" spans="2:13" x14ac:dyDescent="0.35">
      <c r="B15" s="3" t="s">
        <v>13</v>
      </c>
      <c r="C15" s="10">
        <v>2000</v>
      </c>
      <c r="E15" s="3" t="s">
        <v>41</v>
      </c>
      <c r="F15" s="10">
        <f>Total_Down_Payment</f>
        <v>90000</v>
      </c>
      <c r="H15" s="31">
        <f>H14+5000</f>
        <v>365000</v>
      </c>
      <c r="I15" s="32">
        <f>-PMT(I$9/12,Length_Of_Mortage__Years*12,$H$15,0,0)</f>
        <v>2391.0594099737859</v>
      </c>
      <c r="J15" s="32">
        <f>-PMT(J$9/12,Length_Of_Mortage__Years*12,$H$15,0,0)</f>
        <v>2433.7806128828001</v>
      </c>
      <c r="K15" s="32">
        <f>-PMT(K$9/12,Length_Of_Mortage__Years*12,$H$15,0,0)</f>
        <v>2476.9689766049305</v>
      </c>
      <c r="L15" s="32">
        <f>-PMT(L$9/12,Length_Of_Mortage__Years*12,$H$15,0,0)</f>
        <v>2520.6229870146635</v>
      </c>
      <c r="M15" s="32">
        <f>-PMT(M$9/12,Length_Of_Mortage__Years*12,$H$15,0,0)</f>
        <v>2564.7410065575723</v>
      </c>
    </row>
    <row r="16" spans="2:13" x14ac:dyDescent="0.35">
      <c r="B16" s="3" t="s">
        <v>14</v>
      </c>
      <c r="C16" s="10">
        <v>500</v>
      </c>
      <c r="E16" s="3" t="s">
        <v>42</v>
      </c>
      <c r="F16" s="10">
        <f>-Monthly_Payment_on_Loan*12</f>
        <v>29316.454736803564</v>
      </c>
      <c r="H16" s="31">
        <f>H15+5000</f>
        <v>370000</v>
      </c>
      <c r="I16" s="32">
        <f>-PMT(I$9/12,Length_Of_Mortage__Years*12,$H$16,0,0)</f>
        <v>2423.8136484665774</v>
      </c>
      <c r="J16" s="32">
        <f>-PMT(J$9/12,Length_Of_Mortage__Years*12,$H$16,0,0)</f>
        <v>2467.1200733332498</v>
      </c>
      <c r="K16" s="32">
        <f>-PMT(K$9/12,Length_Of_Mortage__Years*12,$H$16,0,0)</f>
        <v>2510.9000584762307</v>
      </c>
      <c r="L16" s="32">
        <f>-PMT(L$9/12,Length_Of_Mortage__Years*12,$H$16,0,0)</f>
        <v>2555.1520690285633</v>
      </c>
      <c r="M16" s="32">
        <f>-PMT(M$9/12,Length_Of_Mortage__Years*12,$H$16,0,0)</f>
        <v>2599.8744450035665</v>
      </c>
    </row>
    <row r="17" spans="2:13" ht="16" thickBot="1" x14ac:dyDescent="0.4">
      <c r="B17" s="3" t="s">
        <v>15</v>
      </c>
      <c r="C17" s="10">
        <v>0</v>
      </c>
      <c r="E17" s="3" t="s">
        <v>43</v>
      </c>
      <c r="F17" s="20">
        <f>SUM(F8:F16)</f>
        <v>160596.45473680357</v>
      </c>
      <c r="H17" s="31">
        <f>H16+5000</f>
        <v>375000</v>
      </c>
      <c r="I17" s="32">
        <f>-PMT(I$9/12,Length_Of_Mortage__Years*12,$H$17,0,0)</f>
        <v>2456.5678869593694</v>
      </c>
      <c r="J17" s="32">
        <f>-PMT(J$9/12,Length_Of_Mortage__Years*12,$H$17,0,0)</f>
        <v>2500.459533783699</v>
      </c>
      <c r="K17" s="32">
        <f>-PMT(K$9/12,Length_Of_Mortage__Years*12,$H$17,0,0)</f>
        <v>2544.8311403475313</v>
      </c>
      <c r="L17" s="32">
        <f>-PMT(L$9/12,Length_Of_Mortage__Years*12,$H$17,0,0)</f>
        <v>2589.6811510424627</v>
      </c>
      <c r="M17" s="32">
        <f>-PMT(M$9/12,Length_Of_Mortage__Years*12,$H$17,0,0)</f>
        <v>2635.0078834495607</v>
      </c>
    </row>
    <row r="18" spans="2:13" ht="16" thickBot="1" x14ac:dyDescent="0.4">
      <c r="B18" s="3" t="s">
        <v>16</v>
      </c>
      <c r="C18" s="10">
        <v>500</v>
      </c>
      <c r="E18" s="57" t="s">
        <v>44</v>
      </c>
      <c r="F18" s="58"/>
      <c r="H18" s="33">
        <f>H17+5000</f>
        <v>380000</v>
      </c>
      <c r="I18" s="34">
        <f>-PMT(I$9/12,Length_Of_Mortage__Years*12,$H$18,0,0)</f>
        <v>2489.3221254521609</v>
      </c>
      <c r="J18" s="34">
        <f>-PMT(J$9/12,Length_Of_Mortage__Years*12,$H$18,0,0)</f>
        <v>2533.7989942341478</v>
      </c>
      <c r="K18" s="34">
        <f>-PMT(K$9/12,Length_Of_Mortage__Years*12,$H$18,0,0)</f>
        <v>2578.762222218832</v>
      </c>
      <c r="L18" s="34">
        <f>-PMT(L$9/12,Length_Of_Mortage__Years*12,$H$18,0,0)</f>
        <v>2624.2102330563621</v>
      </c>
      <c r="M18" s="34">
        <f>-PMT(M$9/12,Length_Of_Mortage__Years*12,$H$18,0,0)</f>
        <v>2670.1413218955549</v>
      </c>
    </row>
    <row r="19" spans="2:13" ht="16" thickBot="1" x14ac:dyDescent="0.4">
      <c r="B19" s="3" t="s">
        <v>17</v>
      </c>
      <c r="C19" s="11">
        <v>7.0000000000000007E-2</v>
      </c>
      <c r="E19" s="61">
        <f>Total_Revenue_Year_One-Total_Expenses_Year_One</f>
        <v>-53796.454736803571</v>
      </c>
      <c r="F19" s="62"/>
    </row>
    <row r="20" spans="2:13" ht="16" thickBot="1" x14ac:dyDescent="0.4">
      <c r="B20" s="3" t="s">
        <v>18</v>
      </c>
      <c r="C20" s="10">
        <v>100</v>
      </c>
      <c r="E20" s="57" t="s">
        <v>45</v>
      </c>
      <c r="F20" s="58"/>
    </row>
    <row r="21" spans="2:13" ht="16" thickBot="1" x14ac:dyDescent="0.4">
      <c r="B21" s="3" t="s">
        <v>19</v>
      </c>
      <c r="C21" s="11">
        <v>0</v>
      </c>
      <c r="E21" s="1" t="s">
        <v>46</v>
      </c>
      <c r="F21" s="2">
        <f>IF(Replacement_Resrves*Total_Revenue_Year_One &gt;=Earnings_Before_Savings_Year_One,IF(Earnings_Before_Savings_Year_One &gt;=0,Earnings_Before_Savings_Year_One,0),Replacement_Resrves*Total_Revenue_Year_One)</f>
        <v>0</v>
      </c>
    </row>
    <row r="22" spans="2:13" ht="16" thickBot="1" x14ac:dyDescent="0.4">
      <c r="B22" s="3" t="s">
        <v>20</v>
      </c>
      <c r="C22" s="10">
        <v>0</v>
      </c>
      <c r="E22" s="57" t="s">
        <v>47</v>
      </c>
      <c r="F22" s="58"/>
    </row>
    <row r="23" spans="2:13" ht="14.25" customHeight="1" thickBot="1" x14ac:dyDescent="0.4">
      <c r="B23" s="6" t="s">
        <v>21</v>
      </c>
      <c r="C23" s="12">
        <v>2200</v>
      </c>
      <c r="E23" s="21" t="s">
        <v>47</v>
      </c>
      <c r="F23" s="22">
        <f>Earnings_Before_Savings_Year_One-Year_One_Savings</f>
        <v>-53796.454736803571</v>
      </c>
    </row>
    <row r="24" spans="2:13" ht="16.5" customHeight="1" thickBot="1" x14ac:dyDescent="0.5">
      <c r="B24" s="57" t="s">
        <v>22</v>
      </c>
      <c r="C24" s="58"/>
      <c r="E24" s="59" t="s">
        <v>48</v>
      </c>
      <c r="F24" s="60"/>
    </row>
    <row r="25" spans="2:13" ht="15.75" customHeight="1" thickBot="1" x14ac:dyDescent="0.4">
      <c r="B25" s="1" t="s">
        <v>23</v>
      </c>
      <c r="C25" s="13">
        <v>4</v>
      </c>
      <c r="E25" s="57" t="s">
        <v>32</v>
      </c>
      <c r="F25" s="58"/>
    </row>
    <row r="26" spans="2:13" ht="16" thickBot="1" x14ac:dyDescent="0.4">
      <c r="B26" s="6" t="s">
        <v>24</v>
      </c>
      <c r="C26" s="7" t="s">
        <v>65</v>
      </c>
      <c r="E26" s="1" t="s">
        <v>33</v>
      </c>
      <c r="F26" s="17">
        <f>(Number_of_Units*Rent_Per_Unit*12) + (Total_Revenue_Year_One*Inflation)</f>
        <v>109038.96</v>
      </c>
    </row>
    <row r="27" spans="2:13" ht="16" thickBot="1" x14ac:dyDescent="0.4">
      <c r="B27" s="57" t="s">
        <v>25</v>
      </c>
      <c r="C27" s="58"/>
      <c r="E27" s="3" t="s">
        <v>18</v>
      </c>
      <c r="F27" s="2">
        <f>Ancilliary_Income*12</f>
        <v>1200</v>
      </c>
    </row>
    <row r="28" spans="2:13" ht="16" thickBot="1" x14ac:dyDescent="0.4">
      <c r="B28" s="1" t="s">
        <v>26</v>
      </c>
      <c r="C28" s="14">
        <v>0.06</v>
      </c>
      <c r="E28" s="6" t="s">
        <v>34</v>
      </c>
      <c r="F28" s="8">
        <f>SUM(F26:F27)</f>
        <v>110238.96</v>
      </c>
    </row>
    <row r="29" spans="2:13" ht="16" thickBot="1" x14ac:dyDescent="0.4">
      <c r="B29" s="3" t="s">
        <v>27</v>
      </c>
      <c r="C29" s="15">
        <v>3.2199999999999999E-2</v>
      </c>
      <c r="E29" s="57" t="s">
        <v>35</v>
      </c>
      <c r="F29" s="58"/>
    </row>
    <row r="30" spans="2:13" x14ac:dyDescent="0.35">
      <c r="B30" s="3" t="s">
        <v>28</v>
      </c>
      <c r="C30" s="56">
        <v>1.4999999999999999E-2</v>
      </c>
      <c r="E30" s="1" t="s">
        <v>36</v>
      </c>
      <c r="F30" s="18">
        <f>Insurance_Month*12</f>
        <v>24000</v>
      </c>
    </row>
    <row r="31" spans="2:13" x14ac:dyDescent="0.35">
      <c r="B31" s="3" t="s">
        <v>29</v>
      </c>
      <c r="C31" s="11">
        <v>0.08</v>
      </c>
      <c r="E31" s="3" t="s">
        <v>37</v>
      </c>
      <c r="F31" s="10">
        <f>Taxes_Month*12</f>
        <v>6000</v>
      </c>
    </row>
    <row r="32" spans="2:13" ht="16" thickBot="1" x14ac:dyDescent="0.4">
      <c r="B32" s="6" t="s">
        <v>30</v>
      </c>
      <c r="C32" s="16">
        <v>0.1</v>
      </c>
      <c r="E32" s="3" t="s">
        <v>38</v>
      </c>
      <c r="F32" s="10">
        <f>Utilities_Month*12</f>
        <v>0</v>
      </c>
    </row>
    <row r="33" spans="2:6" ht="16" thickBot="1" x14ac:dyDescent="0.4">
      <c r="E33" s="3" t="s">
        <v>39</v>
      </c>
      <c r="F33" s="10">
        <f>Maintenance_Month*12</f>
        <v>6000</v>
      </c>
    </row>
    <row r="34" spans="2:6" ht="16" thickBot="1" x14ac:dyDescent="0.4">
      <c r="B34" s="63" t="s">
        <v>50</v>
      </c>
      <c r="C34" s="64"/>
      <c r="E34" s="3" t="s">
        <v>40</v>
      </c>
      <c r="F34" s="10">
        <f>Vacancy*Total_Revenue</f>
        <v>5511.9480000000003</v>
      </c>
    </row>
    <row r="35" spans="2:6" x14ac:dyDescent="0.35">
      <c r="B35" s="65">
        <f>IFERROR(Net_Income_Year_One/Total_Expenses_Year_One,0)</f>
        <v>-0.3349790929380656</v>
      </c>
      <c r="C35" s="66"/>
      <c r="E35" s="3" t="s">
        <v>19</v>
      </c>
      <c r="F35" s="19">
        <f>Property_Management_Cost*12</f>
        <v>0</v>
      </c>
    </row>
    <row r="36" spans="2:6" ht="12.75" customHeight="1" thickBot="1" x14ac:dyDescent="0.4">
      <c r="B36" s="67"/>
      <c r="C36" s="68"/>
      <c r="E36" s="3" t="s">
        <v>42</v>
      </c>
      <c r="F36" s="10">
        <f>-Monthly_Payment_on_Loan*12</f>
        <v>29316.454736803564</v>
      </c>
    </row>
    <row r="37" spans="2:6" ht="16" thickBot="1" x14ac:dyDescent="0.4">
      <c r="E37" s="3" t="s">
        <v>43</v>
      </c>
      <c r="F37" s="12">
        <f>SUM(F30:F36)</f>
        <v>70828.402736803575</v>
      </c>
    </row>
    <row r="38" spans="2:6" ht="16" thickBot="1" x14ac:dyDescent="0.4">
      <c r="B38" s="63" t="s">
        <v>49</v>
      </c>
      <c r="C38" s="64"/>
      <c r="E38" s="57" t="s">
        <v>44</v>
      </c>
      <c r="F38" s="58"/>
    </row>
    <row r="39" spans="2:6" ht="16" thickBot="1" x14ac:dyDescent="0.4">
      <c r="B39" s="65">
        <f>IFERROR(Net_Income/Total_Expenses_Yearly,0)</f>
        <v>0.45087219292328784</v>
      </c>
      <c r="C39" s="66"/>
      <c r="E39" s="61">
        <f>Total_Revenue-Total_Expenses_Yearly</f>
        <v>39410.557263196431</v>
      </c>
      <c r="F39" s="62"/>
    </row>
    <row r="40" spans="2:6" ht="14.25" customHeight="1" thickBot="1" x14ac:dyDescent="0.4">
      <c r="B40" s="67"/>
      <c r="C40" s="68"/>
      <c r="E40" s="57" t="s">
        <v>45</v>
      </c>
      <c r="F40" s="58"/>
    </row>
    <row r="41" spans="2:6" ht="16" thickBot="1" x14ac:dyDescent="0.4">
      <c r="E41" s="1" t="s">
        <v>46</v>
      </c>
      <c r="F41" s="2">
        <f>IF(Replacement_Resrves*Total_Revenue_Year_One &gt;=Earnings_Before_Savings_Yearly,IF(Earnings_Before_Savings_Yearly&gt;=0,Earnings_Before_Savings_Yearly,0),Replacement_Resrves*Total_Revenue_Year_One)</f>
        <v>7476.0000000000009</v>
      </c>
    </row>
    <row r="42" spans="2:6" ht="16" thickBot="1" x14ac:dyDescent="0.4">
      <c r="E42" s="57" t="s">
        <v>47</v>
      </c>
      <c r="F42" s="58"/>
    </row>
    <row r="43" spans="2:6" ht="16" thickBot="1" x14ac:dyDescent="0.4">
      <c r="E43" s="21" t="s">
        <v>47</v>
      </c>
      <c r="F43" s="22">
        <f>Earnings_Before_Savings_Yearly-Yearly_Savings</f>
        <v>31934.557263196431</v>
      </c>
    </row>
  </sheetData>
  <mergeCells count="27">
    <mergeCell ref="H2:M2"/>
    <mergeCell ref="H8:M8"/>
    <mergeCell ref="E24:F24"/>
    <mergeCell ref="B24:C24"/>
    <mergeCell ref="B27:C27"/>
    <mergeCell ref="B4:C4"/>
    <mergeCell ref="B3:C3"/>
    <mergeCell ref="B2:C2"/>
    <mergeCell ref="B9:C9"/>
    <mergeCell ref="B13:C13"/>
    <mergeCell ref="B38:C38"/>
    <mergeCell ref="B39:C40"/>
    <mergeCell ref="B34:C34"/>
    <mergeCell ref="B35:C36"/>
    <mergeCell ref="E29:F29"/>
    <mergeCell ref="E38:F38"/>
    <mergeCell ref="E39:F39"/>
    <mergeCell ref="E40:F40"/>
    <mergeCell ref="E42:F42"/>
    <mergeCell ref="E2:F2"/>
    <mergeCell ref="E3:F3"/>
    <mergeCell ref="E7:F7"/>
    <mergeCell ref="E18:F18"/>
    <mergeCell ref="E19:F19"/>
    <mergeCell ref="E20:F20"/>
    <mergeCell ref="E22:F22"/>
    <mergeCell ref="E25:F25"/>
  </mergeCells>
  <conditionalFormatting sqref="B39:C40">
    <cfRule type="expression" dxfId="1" priority="6">
      <formula>$B$39&gt;=$C$32</formula>
    </cfRule>
    <cfRule type="expression" dxfId="0" priority="7">
      <formula>$B$39&lt;$C$32</formula>
    </cfRule>
  </conditionalFormatting>
  <conditionalFormatting sqref="I10:M18">
    <cfRule type="colorScale" priority="1">
      <colorScale>
        <cfvo type="min"/>
        <cfvo type="max"/>
        <color theme="9"/>
        <color rgb="FFFFEF9C"/>
      </colorScale>
    </cfRule>
    <cfRule type="colorScale" priority="2">
      <colorScale>
        <cfvo type="min"/>
        <cfvo type="max"/>
        <color theme="9" tint="-0.499984740745262"/>
        <color rgb="FFFFEF9C"/>
      </colorScale>
    </cfRule>
    <cfRule type="colorScale" priority="3">
      <colorScale>
        <cfvo type="min"/>
        <cfvo type="max"/>
        <color theme="9" tint="-0.499984740745262"/>
        <color theme="9"/>
      </colorScale>
    </cfRule>
    <cfRule type="colorScale" priority="4">
      <colorScale>
        <cfvo type="min"/>
        <cfvo type="max"/>
        <color rgb="FF63BE7B"/>
        <color rgb="FFFCFCFF"/>
      </colorScale>
    </cfRule>
  </conditionalFormatting>
  <dataValidations count="1">
    <dataValidation type="list" allowBlank="1" showInputMessage="1" showErrorMessage="1" sqref="C26" xr:uid="{A9B0471F-779E-450C-B1AB-D982B3D5ECE6}">
      <formula1>"Basement Apt, Duplex, Triplex, Fourplex"</formula1>
    </dataValidation>
  </dataValidations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2055" r:id="rId4">
          <objectPr defaultSize="0" autoPict="0" r:id="rId5">
            <anchor moveWithCells="1">
              <from>
                <xdr:col>7</xdr:col>
                <xdr:colOff>57150</xdr:colOff>
                <xdr:row>19</xdr:row>
                <xdr:rowOff>0</xdr:rowOff>
              </from>
              <to>
                <xdr:col>12</xdr:col>
                <xdr:colOff>1009650</xdr:colOff>
                <xdr:row>42</xdr:row>
                <xdr:rowOff>69850</xdr:rowOff>
              </to>
            </anchor>
          </objectPr>
        </oleObject>
      </mc:Choice>
      <mc:Fallback>
        <oleObject progId="Word.Document.12" shapeId="205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5B192-8463-4EEA-B262-936321ECC04E}">
  <dimension ref="A1:H26"/>
  <sheetViews>
    <sheetView workbookViewId="0">
      <selection activeCell="L20" sqref="L20"/>
    </sheetView>
  </sheetViews>
  <sheetFormatPr defaultRowHeight="15.5" x14ac:dyDescent="0.35"/>
  <cols>
    <col min="1" max="1" width="4.58203125" customWidth="1"/>
    <col min="2" max="2" width="16.75" customWidth="1"/>
    <col min="3" max="3" width="20.5" customWidth="1"/>
    <col min="4" max="4" width="12.75" bestFit="1" customWidth="1"/>
    <col min="5" max="5" width="22.75" bestFit="1" customWidth="1"/>
    <col min="6" max="6" width="13.75" bestFit="1" customWidth="1"/>
    <col min="7" max="7" width="10.5" bestFit="1" customWidth="1"/>
    <col min="8" max="8" width="10.58203125" customWidth="1"/>
  </cols>
  <sheetData>
    <row r="1" spans="1:8" ht="16" thickBot="1" x14ac:dyDescent="0.4"/>
    <row r="2" spans="1:8" ht="24" thickBot="1" x14ac:dyDescent="0.6">
      <c r="A2" s="76" t="s">
        <v>55</v>
      </c>
      <c r="B2" s="77"/>
      <c r="C2" s="77"/>
      <c r="D2" s="77"/>
      <c r="E2" s="77"/>
      <c r="F2" s="77"/>
      <c r="G2" s="77"/>
      <c r="H2" s="78"/>
    </row>
    <row r="3" spans="1:8" ht="16" thickBot="1" x14ac:dyDescent="0.4">
      <c r="A3" s="48" t="s">
        <v>56</v>
      </c>
      <c r="B3" s="49" t="s">
        <v>57</v>
      </c>
      <c r="C3" s="48" t="s">
        <v>58</v>
      </c>
      <c r="D3" s="48" t="s">
        <v>59</v>
      </c>
      <c r="E3" s="48" t="s">
        <v>60</v>
      </c>
      <c r="F3" s="48" t="s">
        <v>61</v>
      </c>
      <c r="G3" s="48" t="s">
        <v>62</v>
      </c>
      <c r="H3" s="48" t="s">
        <v>47</v>
      </c>
    </row>
    <row r="4" spans="1:8" x14ac:dyDescent="0.35">
      <c r="A4" s="41">
        <v>1</v>
      </c>
      <c r="B4" s="42">
        <f>-FV(Avg_20_yr_Appreciation,1,0,Cost_of_Property,0)</f>
        <v>477000</v>
      </c>
      <c r="C4" s="43">
        <f>B4-Cost_of_Property</f>
        <v>27000</v>
      </c>
      <c r="D4" s="44">
        <f>-FV(Inflation,1,0,Cost_of_Property,0)</f>
        <v>464490</v>
      </c>
      <c r="E4" s="42">
        <f>B4-D4</f>
        <v>12510</v>
      </c>
      <c r="F4" s="38">
        <f>(-CUMPRINC(Interest_Rate/12,Length_Of_Mortage__Years*12,Loan_Amount,1,12,0))+E4+Total_Down_Payment+G4</f>
        <v>68376.607358147143</v>
      </c>
      <c r="G4" s="42">
        <f>Net_Income_Year_One</f>
        <v>-53796.454736803571</v>
      </c>
      <c r="H4" s="42">
        <f>Net_Income_Year_One</f>
        <v>-53796.454736803571</v>
      </c>
    </row>
    <row r="5" spans="1:8" x14ac:dyDescent="0.35">
      <c r="A5" s="41">
        <v>2</v>
      </c>
      <c r="B5" s="43">
        <f t="shared" ref="B5:B13" si="0">-FV(Avg_20_yr_Appreciation,1,0,B4,0)</f>
        <v>505620</v>
      </c>
      <c r="C5" s="43">
        <f>C4+(B5-B4)</f>
        <v>55620</v>
      </c>
      <c r="D5" s="44">
        <f t="shared" ref="D5:D13" si="1">-FV(Inflation,1,0,D4,0)</f>
        <v>479446.57799999998</v>
      </c>
      <c r="E5" s="43">
        <f t="shared" ref="E5:E13" si="2">B5-D5</f>
        <v>26173.42200000002</v>
      </c>
      <c r="F5" s="39">
        <f>-CUMPRINC(Interest_Rate/12,Length_Of_Mortage__Years*12,Loan_Amount,1,24,0)+E5+Total_Down_Payment+G5</f>
        <v>134185.25076029508</v>
      </c>
      <c r="G5" s="43">
        <f>G4+H5</f>
        <v>-21861.89747360714</v>
      </c>
      <c r="H5" s="43">
        <f>Net_Income</f>
        <v>31934.557263196431</v>
      </c>
    </row>
    <row r="6" spans="1:8" x14ac:dyDescent="0.35">
      <c r="A6" s="41">
        <v>3</v>
      </c>
      <c r="B6" s="43">
        <f t="shared" si="0"/>
        <v>535957.20000000007</v>
      </c>
      <c r="C6" s="43">
        <f t="shared" ref="C6:C12" si="3">C5+(B6-B5)</f>
        <v>85957.20000000007</v>
      </c>
      <c r="D6" s="44">
        <f t="shared" si="1"/>
        <v>494884.75781159999</v>
      </c>
      <c r="E6" s="43">
        <f t="shared" si="2"/>
        <v>41072.442188400077</v>
      </c>
      <c r="F6" s="39">
        <f>-CUMPRINC(Interest_Rate/12,Length_Of_Mortage__Years*12,Loan_Amount,1,36,0)+E6+Total_Down_Payment+G6</f>
        <v>202820.63745920011</v>
      </c>
      <c r="G6" s="43">
        <f t="shared" ref="G6:G13" si="4">G5+H6</f>
        <v>11100.952533464217</v>
      </c>
      <c r="H6" s="43">
        <f t="shared" ref="H6:H13" si="5">H5+(H5*Inflation)</f>
        <v>32962.850007071356</v>
      </c>
    </row>
    <row r="7" spans="1:8" x14ac:dyDescent="0.35">
      <c r="A7" s="41">
        <v>4</v>
      </c>
      <c r="B7" s="43">
        <f t="shared" si="0"/>
        <v>568114.6320000001</v>
      </c>
      <c r="C7" s="43">
        <f t="shared" si="3"/>
        <v>118114.6320000001</v>
      </c>
      <c r="D7" s="44">
        <f t="shared" si="1"/>
        <v>510820.04701313353</v>
      </c>
      <c r="E7" s="43">
        <f t="shared" si="2"/>
        <v>57294.584986866568</v>
      </c>
      <c r="F7" s="39">
        <f>-CUMPRINC(Interest_Rate/12,Length_Of_Mortage__Years*12,Loan_Amount,1,48,0)+E7+Total_Down_Payment+G7</f>
        <v>274419.07793374761</v>
      </c>
      <c r="G7" s="43">
        <f t="shared" si="4"/>
        <v>45125.206310763271</v>
      </c>
      <c r="H7" s="43">
        <f t="shared" si="5"/>
        <v>34024.253777299054</v>
      </c>
    </row>
    <row r="8" spans="1:8" x14ac:dyDescent="0.35">
      <c r="A8" s="41">
        <v>5</v>
      </c>
      <c r="B8" s="43">
        <f t="shared" si="0"/>
        <v>602201.5099200001</v>
      </c>
      <c r="C8" s="43">
        <f t="shared" si="3"/>
        <v>152201.5099200001</v>
      </c>
      <c r="D8" s="44">
        <f t="shared" si="1"/>
        <v>527268.45252695645</v>
      </c>
      <c r="E8" s="43">
        <f t="shared" si="2"/>
        <v>74933.057393043651</v>
      </c>
      <c r="F8" s="39">
        <f>-CUMPRINC(Interest_Rate/12,Length_Of_Mortage__Years*12,Loan_Amount,1,60,0)+E8+Total_Down_Payment+G8</f>
        <v>349124.06795211066</v>
      </c>
      <c r="G8" s="43">
        <f>G7+H8</f>
        <v>80245.041059691357</v>
      </c>
      <c r="H8" s="43">
        <f t="shared" si="5"/>
        <v>35119.834748928086</v>
      </c>
    </row>
    <row r="9" spans="1:8" x14ac:dyDescent="0.35">
      <c r="A9" s="41">
        <v>6</v>
      </c>
      <c r="B9" s="43">
        <f t="shared" si="0"/>
        <v>638333.60051520017</v>
      </c>
      <c r="C9" s="43">
        <f t="shared" si="3"/>
        <v>188333.60051520017</v>
      </c>
      <c r="D9" s="44">
        <f t="shared" si="1"/>
        <v>544246.49669832445</v>
      </c>
      <c r="E9" s="43">
        <f t="shared" si="2"/>
        <v>94087.103816875722</v>
      </c>
      <c r="F9" s="39">
        <f>-CUMPRINC(Interest_Rate/12,Length_Of_Mortage__Years*12,Loan_Amount,1,72,0)+E9+Total_Down_Payment+G9</f>
        <v>427086.68989618367</v>
      </c>
      <c r="G9" s="43">
        <f t="shared" si="4"/>
        <v>116495.73448753494</v>
      </c>
      <c r="H9" s="43">
        <f t="shared" si="5"/>
        <v>36250.693427843573</v>
      </c>
    </row>
    <row r="10" spans="1:8" x14ac:dyDescent="0.35">
      <c r="A10" s="41">
        <v>7</v>
      </c>
      <c r="B10" s="43">
        <f t="shared" si="0"/>
        <v>676633.61654611223</v>
      </c>
      <c r="C10" s="43">
        <f t="shared" si="3"/>
        <v>226633.61654611223</v>
      </c>
      <c r="D10" s="44">
        <f t="shared" si="1"/>
        <v>561771.23389201052</v>
      </c>
      <c r="E10" s="43">
        <f t="shared" si="2"/>
        <v>114862.3826541017</v>
      </c>
      <c r="F10" s="39">
        <f>-CUMPRINC(Interest_Rate/12,Length_Of_Mortage__Years*12,Loan_Amount,1,84,0)+E10+Total_Down_Payment+G10</f>
        <v>508466.03726721217</v>
      </c>
      <c r="G10" s="43">
        <f t="shared" si="4"/>
        <v>153913.70024375507</v>
      </c>
      <c r="H10" s="43">
        <f t="shared" si="5"/>
        <v>37417.965756220139</v>
      </c>
    </row>
    <row r="11" spans="1:8" x14ac:dyDescent="0.35">
      <c r="A11" s="41">
        <v>8</v>
      </c>
      <c r="B11" s="43">
        <f t="shared" si="0"/>
        <v>717231.63353887899</v>
      </c>
      <c r="C11" s="43">
        <f t="shared" si="3"/>
        <v>267231.63353887899</v>
      </c>
      <c r="D11" s="44">
        <f t="shared" si="1"/>
        <v>579860.26762333326</v>
      </c>
      <c r="E11" s="43">
        <f t="shared" si="2"/>
        <v>137371.36591554573</v>
      </c>
      <c r="F11" s="39">
        <f>-CUMPRINC(Interest_Rate/12,Length_Of_Mortage__Years*12,Loan_Amount,1,96,0)+E11+Total_Down_Payment+G11</f>
        <v>593429.66373626736</v>
      </c>
      <c r="G11" s="43">
        <f t="shared" si="4"/>
        <v>192536.5244973255</v>
      </c>
      <c r="H11" s="43">
        <f t="shared" si="5"/>
        <v>38622.824253570427</v>
      </c>
    </row>
    <row r="12" spans="1:8" x14ac:dyDescent="0.35">
      <c r="A12" s="41">
        <v>9</v>
      </c>
      <c r="B12" s="43">
        <f t="shared" si="0"/>
        <v>760265.53155121172</v>
      </c>
      <c r="C12" s="43">
        <f t="shared" si="3"/>
        <v>310265.53155121172</v>
      </c>
      <c r="D12" s="44">
        <f t="shared" si="1"/>
        <v>598531.76824080455</v>
      </c>
      <c r="E12" s="43">
        <f t="shared" si="2"/>
        <v>161733.76331040717</v>
      </c>
      <c r="F12" s="39">
        <f>-CUMPRINC(Interest_Rate/12,Length_Of_Mortage__Years*12,Loan_Amount,1,108,0)+E12+Total_Down_Payment+G12</f>
        <v>682154.05818420276</v>
      </c>
      <c r="G12" s="43">
        <f t="shared" si="4"/>
        <v>232403.00369186088</v>
      </c>
      <c r="H12" s="43">
        <f t="shared" si="5"/>
        <v>39866.479194535394</v>
      </c>
    </row>
    <row r="13" spans="1:8" ht="16" thickBot="1" x14ac:dyDescent="0.4">
      <c r="A13" s="45">
        <v>10</v>
      </c>
      <c r="B13" s="46">
        <f t="shared" si="0"/>
        <v>805881.46344428451</v>
      </c>
      <c r="C13" s="46">
        <f>C12+(B13-B12)</f>
        <v>355881.46344428451</v>
      </c>
      <c r="D13" s="47">
        <f t="shared" si="1"/>
        <v>617804.49117815844</v>
      </c>
      <c r="E13" s="46">
        <f t="shared" si="2"/>
        <v>188076.97226612607</v>
      </c>
      <c r="F13" s="40">
        <f>-CUMPRINC(Interest_Rate/12,Length_Of_Mortage__Years*12,Loan_Amount,1,120,0)+E13+Total_Down_Payment+G13</f>
        <v>774825.14726155356</v>
      </c>
      <c r="G13" s="46">
        <f t="shared" si="4"/>
        <v>273553.1835164603</v>
      </c>
      <c r="H13" s="46">
        <f t="shared" si="5"/>
        <v>41150.179824599436</v>
      </c>
    </row>
    <row r="14" spans="1:8" ht="16" thickBot="1" x14ac:dyDescent="0.4"/>
    <row r="15" spans="1:8" ht="21.5" thickBot="1" x14ac:dyDescent="0.55000000000000004">
      <c r="B15" s="74" t="s">
        <v>64</v>
      </c>
      <c r="C15" s="75"/>
      <c r="E15" s="52"/>
    </row>
    <row r="16" spans="1:8" ht="16" thickBot="1" x14ac:dyDescent="0.4">
      <c r="B16" s="48" t="s">
        <v>56</v>
      </c>
      <c r="C16" s="49" t="s">
        <v>63</v>
      </c>
      <c r="E16" s="51"/>
    </row>
    <row r="17" spans="2:5" x14ac:dyDescent="0.35">
      <c r="B17" s="3">
        <v>1</v>
      </c>
      <c r="C17" s="53">
        <f>-FV(Annual_Stock_Return/12,12,((-Monthly_Payment_on_Loan)+((Total_Down_Payment*Dividend_Yield)/12)),Total_Down_Payment,1)</f>
        <v>129498.32173118574</v>
      </c>
      <c r="E17" s="50"/>
    </row>
    <row r="18" spans="2:5" x14ac:dyDescent="0.35">
      <c r="B18" s="3">
        <v>2</v>
      </c>
      <c r="C18" s="54">
        <f t="shared" ref="C18:C26" si="6">-FV(Annual_Stock_Return/12,12,((-Monthly_Payment_on_Loan)+((C17*Dividend_Yield)/12)),C17,1)</f>
        <v>172893.77159170341</v>
      </c>
      <c r="E18" s="50"/>
    </row>
    <row r="19" spans="2:5" x14ac:dyDescent="0.35">
      <c r="B19" s="3">
        <v>3</v>
      </c>
      <c r="C19" s="54">
        <f t="shared" si="6"/>
        <v>220570.86231502541</v>
      </c>
      <c r="E19" s="50"/>
    </row>
    <row r="20" spans="2:5" x14ac:dyDescent="0.35">
      <c r="B20" s="3">
        <v>4</v>
      </c>
      <c r="C20" s="54">
        <f t="shared" si="6"/>
        <v>272952.04483868001</v>
      </c>
      <c r="E20" s="50"/>
    </row>
    <row r="21" spans="2:5" x14ac:dyDescent="0.35">
      <c r="B21" s="3">
        <v>5</v>
      </c>
      <c r="C21" s="54">
        <f t="shared" si="6"/>
        <v>330501.45150233468</v>
      </c>
      <c r="E21" s="50"/>
    </row>
    <row r="22" spans="2:5" x14ac:dyDescent="0.35">
      <c r="B22" s="3">
        <v>6</v>
      </c>
      <c r="C22" s="54">
        <f t="shared" si="6"/>
        <v>393729.00857100298</v>
      </c>
      <c r="E22" s="50"/>
    </row>
    <row r="23" spans="2:5" x14ac:dyDescent="0.35">
      <c r="B23" s="3">
        <v>7</v>
      </c>
      <c r="C23" s="54">
        <f t="shared" si="6"/>
        <v>463194.95452308294</v>
      </c>
      <c r="E23" s="50"/>
    </row>
    <row r="24" spans="2:5" x14ac:dyDescent="0.35">
      <c r="B24" s="3">
        <v>8</v>
      </c>
      <c r="C24" s="54">
        <f t="shared" si="6"/>
        <v>539514.80413828383</v>
      </c>
      <c r="E24" s="50"/>
    </row>
    <row r="25" spans="2:5" x14ac:dyDescent="0.35">
      <c r="B25" s="3">
        <v>9</v>
      </c>
      <c r="C25" s="54">
        <f t="shared" si="6"/>
        <v>623364.80237058271</v>
      </c>
      <c r="E25" s="50"/>
    </row>
    <row r="26" spans="2:5" ht="16" thickBot="1" x14ac:dyDescent="0.4">
      <c r="B26" s="6">
        <v>10</v>
      </c>
      <c r="C26" s="55">
        <f t="shared" si="6"/>
        <v>715487.91633117653</v>
      </c>
      <c r="E26" s="50"/>
    </row>
  </sheetData>
  <mergeCells count="2">
    <mergeCell ref="B15:C15"/>
    <mergeCell ref="A2:H2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size="36" baseType="lpstr">
      <vt:lpstr>Sheet1</vt:lpstr>
      <vt:lpstr>Sheet2</vt:lpstr>
      <vt:lpstr>Ancilliary_Income</vt:lpstr>
      <vt:lpstr>Annual_Stock_Return</vt:lpstr>
      <vt:lpstr>Avg_20_yr_Appreciation</vt:lpstr>
      <vt:lpstr>Cost_of_Property</vt:lpstr>
      <vt:lpstr>Dividend_Yield</vt:lpstr>
      <vt:lpstr>Down_Payment</vt:lpstr>
      <vt:lpstr>Earnings_Before_Savings_Year_One</vt:lpstr>
      <vt:lpstr>Earnings_Before_Savings_Yearly</vt:lpstr>
      <vt:lpstr>Hurdle_Rate</vt:lpstr>
      <vt:lpstr>Inflation</vt:lpstr>
      <vt:lpstr>Insurance_Month</vt:lpstr>
      <vt:lpstr>Interest_Rate</vt:lpstr>
      <vt:lpstr>Length_Of_Mortage__Years</vt:lpstr>
      <vt:lpstr>Loan_Amount</vt:lpstr>
      <vt:lpstr>Maintenance_Month</vt:lpstr>
      <vt:lpstr>Monthly_Payment_on_Loan</vt:lpstr>
      <vt:lpstr>Net_Income</vt:lpstr>
      <vt:lpstr>Net_Income_Year_One</vt:lpstr>
      <vt:lpstr>Number_of_Units</vt:lpstr>
      <vt:lpstr>Property_Management_Cost</vt:lpstr>
      <vt:lpstr>Rehab_Cost</vt:lpstr>
      <vt:lpstr>Rent_Per_Unit</vt:lpstr>
      <vt:lpstr>Replacement_Resrves</vt:lpstr>
      <vt:lpstr>Taxes_Month</vt:lpstr>
      <vt:lpstr>Total_Down_Payment</vt:lpstr>
      <vt:lpstr>Total_Expenses_Year_One</vt:lpstr>
      <vt:lpstr>Total_Expenses_Yearly</vt:lpstr>
      <vt:lpstr>Total_Revenue</vt:lpstr>
      <vt:lpstr>Total_Revenue_Year_One</vt:lpstr>
      <vt:lpstr>Unit_Type</vt:lpstr>
      <vt:lpstr>Utilities_Month</vt:lpstr>
      <vt:lpstr>Vacancy</vt:lpstr>
      <vt:lpstr>Year_One_Savings</vt:lpstr>
      <vt:lpstr>Yearly_Savings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Hatch</dc:creator>
  <cp:lastModifiedBy>Jarod Jones</cp:lastModifiedBy>
  <cp:lastPrinted>2020-04-08T19:02:49Z</cp:lastPrinted>
  <dcterms:created xsi:type="dcterms:W3CDTF">2011-12-09T17:09:04Z</dcterms:created>
  <dcterms:modified xsi:type="dcterms:W3CDTF">2020-05-28T17:31:09Z</dcterms:modified>
</cp:coreProperties>
</file>