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105" windowWidth="10335" windowHeight="798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C68" i="2" l="1"/>
  <c r="D70" i="2"/>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<sst xmlns="http://schemas.openxmlformats.org/spreadsheetml/2006/main" count="31821" uniqueCount="9853">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</sst>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846</c:v>
                </c:pt>
                <c:pt idx="1">
                  <c:v>3</c:v>
                </c:pt>
                <c:pt idx="2">
                  <c:v>37</c:v>
                </c:pt>
                <c:pt idx="3">
                  <c:v>321</c:v>
                </c:pt>
                <c:pt idx="4">
                  <c:v>3</c:v>
                </c:pt>
                <c:pt idx="5">
                  <c:v>9</c:v>
                </c:pt>
              </c:numCache>
            </c:numRef>
          </c:val>
        </c:ser>
        <c:dLbls>
          <c:showLegendKey val="0"/>
          <c:showVal val="0"/>
          <c:showCatName val="0"/>
          <c:showSerName val="0"/>
          <c:showPercent val="0"/>
          <c:showBubbleSize val="0"/>
        </c:dLbls>
        <c:gapWidth val="150"/>
        <c:axId val="42786176"/>
        <c:axId val="43672704"/>
      </c:barChart>
      <c:catAx>
        <c:axId val="42786176"/>
        <c:scaling>
          <c:orientation val="minMax"/>
        </c:scaling>
        <c:delete val="0"/>
        <c:axPos val="b"/>
        <c:majorTickMark val="out"/>
        <c:minorTickMark val="none"/>
        <c:tickLblPos val="nextTo"/>
        <c:crossAx val="43672704"/>
        <c:crosses val="autoZero"/>
        <c:auto val="1"/>
        <c:lblAlgn val="ctr"/>
        <c:lblOffset val="100"/>
        <c:noMultiLvlLbl val="0"/>
      </c:catAx>
      <c:valAx>
        <c:axId val="43672704"/>
        <c:scaling>
          <c:orientation val="minMax"/>
        </c:scaling>
        <c:delete val="0"/>
        <c:axPos val="l"/>
        <c:majorGridlines/>
        <c:numFmt formatCode="General" sourceLinked="1"/>
        <c:majorTickMark val="out"/>
        <c:minorTickMark val="none"/>
        <c:tickLblPos val="nextTo"/>
        <c:crossAx val="42786176"/>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125</c:v>
                </c:pt>
                <c:pt idx="1">
                  <c:v>60</c:v>
                </c:pt>
                <c:pt idx="2">
                  <c:v>1</c:v>
                </c:pt>
                <c:pt idx="3">
                  <c:v>0</c:v>
                </c:pt>
                <c:pt idx="4">
                  <c:v>785</c:v>
                </c:pt>
              </c:numCache>
            </c:numRef>
          </c:val>
        </c:ser>
        <c:dLbls>
          <c:showLegendKey val="0"/>
          <c:showVal val="0"/>
          <c:showCatName val="0"/>
          <c:showSerName val="0"/>
          <c:showPercent val="0"/>
          <c:showBubbleSize val="0"/>
        </c:dLbls>
        <c:gapWidth val="150"/>
        <c:axId val="43705472"/>
        <c:axId val="43707008"/>
      </c:barChart>
      <c:catAx>
        <c:axId val="43705472"/>
        <c:scaling>
          <c:orientation val="minMax"/>
        </c:scaling>
        <c:delete val="0"/>
        <c:axPos val="b"/>
        <c:majorTickMark val="out"/>
        <c:minorTickMark val="none"/>
        <c:tickLblPos val="nextTo"/>
        <c:crossAx val="43707008"/>
        <c:crosses val="autoZero"/>
        <c:auto val="1"/>
        <c:lblAlgn val="ctr"/>
        <c:lblOffset val="100"/>
        <c:noMultiLvlLbl val="0"/>
      </c:catAx>
      <c:valAx>
        <c:axId val="43707008"/>
        <c:scaling>
          <c:orientation val="minMax"/>
        </c:scaling>
        <c:delete val="0"/>
        <c:axPos val="l"/>
        <c:majorGridlines/>
        <c:numFmt formatCode="General" sourceLinked="1"/>
        <c:majorTickMark val="out"/>
        <c:minorTickMark val="none"/>
        <c:tickLblPos val="nextTo"/>
        <c:crossAx val="4370547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43920000"/>
        <c:axId val="43934080"/>
      </c:barChart>
      <c:catAx>
        <c:axId val="43920000"/>
        <c:scaling>
          <c:orientation val="minMax"/>
        </c:scaling>
        <c:delete val="0"/>
        <c:axPos val="b"/>
        <c:majorTickMark val="out"/>
        <c:minorTickMark val="none"/>
        <c:tickLblPos val="nextTo"/>
        <c:crossAx val="43934080"/>
        <c:crosses val="autoZero"/>
        <c:auto val="1"/>
        <c:lblAlgn val="ctr"/>
        <c:lblOffset val="100"/>
        <c:noMultiLvlLbl val="0"/>
      </c:catAx>
      <c:valAx>
        <c:axId val="43934080"/>
        <c:scaling>
          <c:orientation val="minMax"/>
        </c:scaling>
        <c:delete val="0"/>
        <c:axPos val="l"/>
        <c:majorGridlines/>
        <c:numFmt formatCode="General" sourceLinked="1"/>
        <c:majorTickMark val="out"/>
        <c:minorTickMark val="none"/>
        <c:tickLblPos val="nextTo"/>
        <c:crossAx val="43920000"/>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3" sqref="A3"/>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60" t="s">
        <v>3</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2"/>
    </row>
    <row r="2" spans="1:37" ht="9.75" customHeight="1" thickBot="1" x14ac:dyDescent="0.3">
      <c r="A2" s="263"/>
      <c r="B2" s="264"/>
      <c r="C2" s="264"/>
      <c r="D2" s="264"/>
      <c r="E2" s="264"/>
      <c r="F2" s="264"/>
      <c r="G2" s="264"/>
      <c r="H2" s="264"/>
      <c r="I2" s="264"/>
      <c r="J2" s="264"/>
      <c r="K2" s="264"/>
      <c r="L2" s="264"/>
      <c r="M2" s="264"/>
      <c r="N2" s="264"/>
      <c r="O2" s="264"/>
      <c r="P2" s="265"/>
      <c r="Q2" s="264"/>
      <c r="R2" s="264"/>
      <c r="S2" s="264"/>
      <c r="T2" s="264"/>
      <c r="U2" s="264"/>
      <c r="V2" s="265"/>
      <c r="W2" s="264"/>
      <c r="X2" s="264"/>
      <c r="Y2" s="264"/>
      <c r="Z2" s="266"/>
      <c r="AA2" s="264"/>
      <c r="AB2" s="265"/>
      <c r="AC2" s="158"/>
      <c r="AD2" s="213"/>
      <c r="AE2" s="127"/>
      <c r="AF2" s="127"/>
      <c r="AG2" s="214"/>
      <c r="AH2" s="140"/>
      <c r="AI2" s="220"/>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1"/>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v>41218</v>
      </c>
      <c r="AF116" s="19"/>
      <c r="AG116" s="72" t="s">
        <v>681</v>
      </c>
      <c r="AH116" s="144" t="s">
        <v>9848</v>
      </c>
      <c r="AI116" s="144" t="s">
        <v>4665</v>
      </c>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v>41218</v>
      </c>
      <c r="AF148" s="19"/>
      <c r="AG148" s="72" t="s">
        <v>498</v>
      </c>
      <c r="AH148" s="144" t="s">
        <v>9849</v>
      </c>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2"/>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681</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14" t="s">
        <v>7204</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t="s">
        <v>7360</v>
      </c>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t="s">
        <v>4665</v>
      </c>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3"/>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4"/>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4"/>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Agendado</v>
      </c>
      <c r="J410" s="73" t="s">
        <v>498</v>
      </c>
      <c r="K410" s="73" t="s">
        <v>500</v>
      </c>
      <c r="L410" s="47" t="s">
        <v>3315</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v>
      </c>
      <c r="X410" s="31">
        <v>41213</v>
      </c>
      <c r="Y410" s="47" t="s">
        <v>8142</v>
      </c>
      <c r="Z410" s="82">
        <v>41213</v>
      </c>
      <c r="AA410" s="83"/>
      <c r="AB410" s="70" t="s">
        <v>1512</v>
      </c>
      <c r="AC410" s="82" t="str">
        <f>VLOOKUP(B410,SAOM!B$2:Q1436,16,0)</f>
        <v>04/09/2012 13:46:25 	Ivan Santos 	Resolvida.
34 9123 4830  	Solicitação Corrigida
Cliente não está ciente.</v>
      </c>
      <c r="AD410" s="82">
        <f t="shared" si="13"/>
        <v>41303</v>
      </c>
      <c r="AE410" s="82" t="s">
        <v>4665</v>
      </c>
      <c r="AF410" s="82"/>
      <c r="AG410" s="216"/>
      <c r="AH410" s="147"/>
      <c r="AI410" s="147"/>
      <c r="AJ410" s="47"/>
      <c r="AK410" s="84"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Agendado</v>
      </c>
      <c r="J417" s="14" t="s">
        <v>498</v>
      </c>
      <c r="K417" s="14" t="s">
        <v>500</v>
      </c>
      <c r="L417" s="15" t="s">
        <v>3315</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8142</v>
      </c>
      <c r="Z417" s="19">
        <v>41212</v>
      </c>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4665</v>
      </c>
      <c r="AF417" s="19"/>
      <c r="AG417" s="72"/>
      <c r="AH417" s="145"/>
      <c r="AI417" s="145"/>
      <c r="AJ417" s="15"/>
      <c r="AK417" s="20" t="s">
        <v>4665</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3315</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9313</v>
      </c>
      <c r="Z418" s="82">
        <v>41211</v>
      </c>
      <c r="AA418" s="83"/>
      <c r="AB418" s="70" t="s">
        <v>3687</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4665</v>
      </c>
      <c r="AF418" s="82"/>
      <c r="AG418" s="216"/>
      <c r="AH418" s="147"/>
      <c r="AI418" s="147"/>
      <c r="AJ418" s="47"/>
      <c r="AK418" s="84"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3315</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9818</v>
      </c>
      <c r="Z421" s="19">
        <v>41212</v>
      </c>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Agendado</v>
      </c>
      <c r="J422" s="14" t="s">
        <v>498</v>
      </c>
      <c r="K422" s="14" t="s">
        <v>500</v>
      </c>
      <c r="L422" s="15" t="s">
        <v>3315</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v>41213</v>
      </c>
      <c r="Y422" s="15" t="s">
        <v>8142</v>
      </c>
      <c r="Z422" s="19">
        <v>41213</v>
      </c>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4"/>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3"/>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3"/>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3"/>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t="s">
        <v>4665</v>
      </c>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5"/>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3"/>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t="s">
        <v>9851</v>
      </c>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0" customFormat="1" ht="15.75" customHeight="1" x14ac:dyDescent="0.25">
      <c r="A517" s="227">
        <v>3764</v>
      </c>
      <c r="B517" s="228">
        <v>3764</v>
      </c>
      <c r="C517" s="229">
        <v>41073</v>
      </c>
      <c r="D517" s="229">
        <v>41200</v>
      </c>
      <c r="E517" s="229">
        <f>VLOOKUP(B517,SAOM!B$2:D3567,3,0)</f>
        <v>41187</v>
      </c>
      <c r="F517" s="229">
        <f t="shared" ref="F517:F580" si="16">D517+15</f>
        <v>41215</v>
      </c>
      <c r="G517" s="229">
        <v>41079</v>
      </c>
      <c r="H517" s="230" t="s">
        <v>514</v>
      </c>
      <c r="I517" s="228" t="str">
        <f>VLOOKUP(B517,SAOM!B$2:E2512,4,0)</f>
        <v>Agendado</v>
      </c>
      <c r="J517" s="230" t="s">
        <v>498</v>
      </c>
      <c r="K517" s="230" t="s">
        <v>500</v>
      </c>
      <c r="L517" s="15" t="s">
        <v>3968</v>
      </c>
      <c r="M517" s="231" t="str">
        <f>VLOOKUP(L517,Coordenadas!A$2:B1769,2,0)</f>
        <v xml:space="preserve"> 19°48'33.58"S</v>
      </c>
      <c r="N517" s="231" t="str">
        <f>VLOOKUP(L517,Coordenadas!A$2:C5512,3,0)</f>
        <v xml:space="preserve"> 43°10'25.87"O</v>
      </c>
      <c r="O517" s="228" t="str">
        <f>VLOOKUP(B517,SAOM!B$2:H1469,7,0)</f>
        <v>SES-JODE-3764</v>
      </c>
      <c r="P517" s="228">
        <v>4033</v>
      </c>
      <c r="Q517" s="229">
        <f>VLOOKUP(B517,SAOM!B$2:I1469,8,0)</f>
        <v>41197</v>
      </c>
      <c r="R517" s="232" t="str">
        <f>VLOOKUP(B517,SAOM!B$2:J1469,9,0)</f>
        <v>Luci de Oliveira</v>
      </c>
      <c r="S517" s="229" t="str">
        <f>VLOOKUP(B517,SAOM!B$2:K1915,10,0)</f>
        <v>Rua Tiete, n748 - Bairro Centro Industrial</v>
      </c>
      <c r="T517" s="232" t="str">
        <f>VLOOKUP(B517,SAOM!B$2:M1242,12,0)</f>
        <v>(31) 3852-0013</v>
      </c>
      <c r="U517" s="233" t="str">
        <f>VLOOKUP(B517,SAOM!B$2:L1242,11,0)</f>
        <v>35930-462</v>
      </c>
      <c r="V517" s="234"/>
      <c r="W517" s="228" t="str">
        <f>VLOOKUP(B517,SAOM!B$2:N1242,13,0)</f>
        <v>00:20:0e:10:4c:d4</v>
      </c>
      <c r="X517" s="229">
        <v>41201</v>
      </c>
      <c r="Y517" s="231" t="s">
        <v>5525</v>
      </c>
      <c r="Z517" s="235">
        <v>41205</v>
      </c>
      <c r="AA517" s="236"/>
      <c r="AB517" s="241" t="s">
        <v>982</v>
      </c>
      <c r="AC517" s="23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5">
        <f t="shared" ref="AD517:AD580" si="17">Z517+90</f>
        <v>41295</v>
      </c>
      <c r="AE517" s="235" t="s">
        <v>4665</v>
      </c>
      <c r="AF517" s="235"/>
      <c r="AG517" s="238"/>
      <c r="AH517" s="242"/>
      <c r="AI517" s="242"/>
      <c r="AJ517" s="231"/>
      <c r="AK517" s="240"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5706</v>
      </c>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681</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8795</v>
      </c>
      <c r="Z531" s="19">
        <v>41211</v>
      </c>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9816</v>
      </c>
      <c r="Z535" s="19">
        <v>41211</v>
      </c>
      <c r="AA535" s="35"/>
      <c r="AB535" s="77" t="s">
        <v>7178</v>
      </c>
      <c r="AC535" s="19" t="str">
        <f>VLOOKUP(B535,SAOM!B$2:Q1561,16,0)</f>
        <v>21/08/2012 13:35:52
Ivan Santos
Resolvida. 
Cnes: 5916992 
PSF Pindorama/Vila Esperança 
Cliente não está ciente 19/06/2012</v>
      </c>
      <c r="AD535" s="19">
        <f t="shared" si="17"/>
        <v>41301</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7204</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3"/>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3" t="s">
        <v>9364</v>
      </c>
      <c r="AI583" s="243"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4"/>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c r="AG612" s="72" t="s">
        <v>9320</v>
      </c>
      <c r="AH612" s="145" t="s">
        <v>9236</v>
      </c>
      <c r="AI612" s="145" t="s">
        <v>9432</v>
      </c>
      <c r="AJ612" s="15" t="s">
        <v>4665</v>
      </c>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8795</v>
      </c>
      <c r="Z648" s="82">
        <v>41208</v>
      </c>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Agendado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v>41213</v>
      </c>
      <c r="Y650" s="15" t="s">
        <v>8795</v>
      </c>
      <c r="Z650" s="19">
        <v>41213</v>
      </c>
      <c r="AA650" s="35"/>
      <c r="AB650" s="48"/>
      <c r="AC650" s="19" t="str">
        <f>VLOOKUP(B650,SAOM!B$2:Q1676,16,0)</f>
        <v>-</v>
      </c>
      <c r="AD650" s="19">
        <f t="shared" si="23"/>
        <v>41303</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7204</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Agendado</v>
      </c>
      <c r="J661" s="14" t="s">
        <v>498</v>
      </c>
      <c r="K661" s="14" t="s">
        <v>500</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v>41213</v>
      </c>
      <c r="Y661" s="15" t="s">
        <v>8794</v>
      </c>
      <c r="Z661" s="19">
        <v>41213</v>
      </c>
      <c r="AA661" s="35"/>
      <c r="AB661" s="48"/>
      <c r="AC661" s="19" t="str">
        <f>VLOOKUP(B661,SAOM!B$2:Q1687,16,0)</f>
        <v>-</v>
      </c>
      <c r="AD661" s="19">
        <f t="shared" si="23"/>
        <v>41303</v>
      </c>
      <c r="AE661" s="19">
        <v>41204</v>
      </c>
      <c r="AF661" s="19">
        <v>41204</v>
      </c>
      <c r="AG661" s="72" t="s">
        <v>498</v>
      </c>
      <c r="AH661" s="145" t="s">
        <v>9372</v>
      </c>
      <c r="AI661" s="145" t="s">
        <v>9850</v>
      </c>
      <c r="AJ661" s="15" t="s">
        <v>4665</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3"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Agendado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v>41218</v>
      </c>
      <c r="AF695" s="19"/>
      <c r="AG695" s="72" t="s">
        <v>498</v>
      </c>
      <c r="AH695" s="145" t="s">
        <v>9852</v>
      </c>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19"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9320</v>
      </c>
      <c r="AH753" s="147" t="s">
        <v>9846</v>
      </c>
      <c r="AI753" s="147" t="s">
        <v>9845</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96" customFormat="1" ht="15.75" customHeight="1" x14ac:dyDescent="0.25">
      <c r="A755" s="88">
        <v>3997</v>
      </c>
      <c r="B755" s="89">
        <v>3997</v>
      </c>
      <c r="C755" s="90">
        <v>41116</v>
      </c>
      <c r="D755" s="90">
        <v>41181</v>
      </c>
      <c r="E755" s="90">
        <f>VLOOKUP(B755,SAOM!B$2:D3805,3,0)</f>
        <v>41181</v>
      </c>
      <c r="F755" s="90">
        <f t="shared" si="27"/>
        <v>41196</v>
      </c>
      <c r="G755" s="90">
        <v>41156</v>
      </c>
      <c r="H755" s="91" t="s">
        <v>2448</v>
      </c>
      <c r="I755" s="89" t="str">
        <f>VLOOKUP(B755,SAOM!B$2:E2750,4,0)</f>
        <v>Agendado</v>
      </c>
      <c r="J755" s="91" t="s">
        <v>498</v>
      </c>
      <c r="K755" s="91" t="s">
        <v>500</v>
      </c>
      <c r="L755" s="92" t="s">
        <v>1897</v>
      </c>
      <c r="M755" s="92" t="str">
        <f>VLOOKUP(L755,Coordenadas!A$2:B2007,2,0)</f>
        <v xml:space="preserve"> 19°39'56.44"S</v>
      </c>
      <c r="N755" s="92" t="str">
        <f>VLOOKUP(L755,Coordenadas!A$2:C5750,3,0)</f>
        <v xml:space="preserve"> 43°12'43.52"O</v>
      </c>
      <c r="O755" s="89" t="str">
        <f>VLOOKUP(B755,SAOM!B$2:H1708,7,0)</f>
        <v>SES-ITRA-3997</v>
      </c>
      <c r="P755" s="89">
        <v>4033</v>
      </c>
      <c r="Q755" s="90">
        <f>VLOOKUP(B755,SAOM!B$2:I1708,8,0)</f>
        <v>41204</v>
      </c>
      <c r="R755" s="93" t="str">
        <f>VLOOKUP(B755,SAOM!B$2:J1708,9,0)</f>
        <v>ROSANE APARECIDA SANTOS FREITAS</v>
      </c>
      <c r="S755" s="90" t="str">
        <f>VLOOKUP(B755,SAOM!B$2:K2154,10,0)</f>
        <v>RUA NOVA ERA, 200  - CENTRO</v>
      </c>
      <c r="T755" s="93">
        <f>VLOOKUP(B755,SAOM!B$2:M1480,12,0)</f>
        <v>38392605</v>
      </c>
      <c r="U755" s="258" t="str">
        <f>VLOOKUP(B755,SAOM!B$2:L1480,11,0)</f>
        <v>35900-000</v>
      </c>
      <c r="V755" s="94"/>
      <c r="W755" s="89" t="str">
        <f>VLOOKUP(B755,SAOM!B$2:N1480,13,0)</f>
        <v>00:20:0E:10:53:95</v>
      </c>
      <c r="X755" s="90">
        <v>41207</v>
      </c>
      <c r="Y755" s="92" t="s">
        <v>8140</v>
      </c>
      <c r="Z755" s="95"/>
      <c r="AA755" s="259"/>
      <c r="AB755" s="71"/>
      <c r="AC755" s="95"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95">
        <f t="shared" si="28"/>
        <v>90</v>
      </c>
      <c r="AE755" s="95" t="s">
        <v>4665</v>
      </c>
      <c r="AF755" s="95"/>
      <c r="AG755" s="217"/>
      <c r="AH755" s="148"/>
      <c r="AI755" s="148"/>
      <c r="AJ755" s="92"/>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6" customFormat="1" ht="15.75" customHeight="1" x14ac:dyDescent="0.25">
      <c r="A766" s="244">
        <v>4008</v>
      </c>
      <c r="B766" s="245">
        <v>4008</v>
      </c>
      <c r="C766" s="246">
        <v>41116</v>
      </c>
      <c r="D766" s="246">
        <f t="shared" si="31"/>
        <v>41161</v>
      </c>
      <c r="E766" s="246">
        <f>VLOOKUP(B766,SAOM!B$2:D3816,3,0)</f>
        <v>41161</v>
      </c>
      <c r="F766" s="246">
        <f t="shared" si="27"/>
        <v>41176</v>
      </c>
      <c r="G766" s="246" t="s">
        <v>500</v>
      </c>
      <c r="H766" s="247" t="s">
        <v>514</v>
      </c>
      <c r="I766" s="245" t="str">
        <f>VLOOKUP(B766,SAOM!B$2:E2761,4,0)</f>
        <v>Aceito</v>
      </c>
      <c r="J766" s="247" t="s">
        <v>498</v>
      </c>
      <c r="K766" s="247" t="s">
        <v>500</v>
      </c>
      <c r="L766" s="99" t="s">
        <v>1897</v>
      </c>
      <c r="M766" s="99" t="str">
        <f>VLOOKUP(L766,Coordenadas!A$2:B2018,2,0)</f>
        <v xml:space="preserve"> 19°39'56.44"S</v>
      </c>
      <c r="N766" s="99" t="str">
        <f>VLOOKUP(L766,Coordenadas!A$2:C5761,3,0)</f>
        <v xml:space="preserve"> 43°12'43.52"O</v>
      </c>
      <c r="O766" s="245" t="str">
        <f>VLOOKUP(B766,SAOM!B$2:H1719,7,0)</f>
        <v>SES-ITRA-4008</v>
      </c>
      <c r="P766" s="245">
        <v>4033</v>
      </c>
      <c r="Q766" s="246">
        <f>VLOOKUP(B766,SAOM!B$2:I1719,8,0)</f>
        <v>41162</v>
      </c>
      <c r="R766" s="248" t="str">
        <f>VLOOKUP(B766,SAOM!B$2:J1719,9,0)</f>
        <v>DÉBORA DOS SANTOS DUTRA</v>
      </c>
      <c r="S766" s="246" t="str">
        <f>VLOOKUP(B766,SAOM!B$2:K2165,10,0)</f>
        <v xml:space="preserve">MG 129, 001 - MAJOR LAGE </v>
      </c>
      <c r="T766" s="248" t="str">
        <f>VLOOKUP(B766,SAOM!B$2:M1491,12,0)</f>
        <v>3839 2866</v>
      </c>
      <c r="U766" s="249" t="str">
        <f>VLOOKUP(B766,SAOM!B$2:L1491,11,0)</f>
        <v>35900-455</v>
      </c>
      <c r="V766" s="250"/>
      <c r="W766" s="245" t="str">
        <f>VLOOKUP(B766,SAOM!B$2:N1491,13,0)</f>
        <v>00:20:0e:10:53:e6</v>
      </c>
      <c r="X766" s="246">
        <v>41206</v>
      </c>
      <c r="Y766" s="99" t="s">
        <v>8140</v>
      </c>
      <c r="Z766" s="251">
        <v>41206</v>
      </c>
      <c r="AA766" s="252"/>
      <c r="AB766" s="253"/>
      <c r="AC766" s="25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1">
        <f t="shared" si="28"/>
        <v>41296</v>
      </c>
      <c r="AE766" s="251" t="s">
        <v>4665</v>
      </c>
      <c r="AF766" s="251"/>
      <c r="AG766" s="254"/>
      <c r="AH766" s="255"/>
      <c r="AI766" s="25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f>VLOOKUP(B770,SAOM!B$2:L1495,11,0)</f>
        <v>4012</v>
      </c>
      <c r="V770" s="81"/>
      <c r="W770" s="38" t="str">
        <f>VLOOKUP(B770,SAOM!B$2:N1495,13,0)</f>
        <v>00:20:0e:10:53:c1</v>
      </c>
      <c r="X770" s="31">
        <v>41211</v>
      </c>
      <c r="Y770" s="47" t="s">
        <v>8343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4665</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6"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514</v>
      </c>
      <c r="I851" s="40" t="str">
        <f>VLOOKUP(B851,SAOM!B$2:E2846,4,0)</f>
        <v>Agendado</v>
      </c>
      <c r="J851" s="14" t="s">
        <v>498</v>
      </c>
      <c r="K851" s="14" t="s">
        <v>500</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v>41218</v>
      </c>
      <c r="Y851" s="15" t="s">
        <v>6940</v>
      </c>
      <c r="Z851" s="19">
        <v>41218</v>
      </c>
      <c r="AA851" s="35"/>
      <c r="AB851" s="48"/>
      <c r="AC851" s="19" t="str">
        <f>VLOOKUP(B851,SAOM!B$2:Q1877,16,0)</f>
        <v>-</v>
      </c>
      <c r="AD851" s="19">
        <f t="shared" si="37"/>
        <v>41308</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3"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6614</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500</v>
      </c>
      <c r="L909" s="47"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v>41218</v>
      </c>
      <c r="AF909" s="19"/>
      <c r="AG909" s="72" t="s">
        <v>9320</v>
      </c>
      <c r="AH909" s="145" t="s">
        <v>9355</v>
      </c>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c r="AG922" s="72" t="s">
        <v>681</v>
      </c>
      <c r="AH922" s="145" t="s">
        <v>9400</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5706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3785</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4265</v>
      </c>
      <c r="Z974" s="19">
        <v>41211</v>
      </c>
      <c r="AA974" s="35"/>
      <c r="AB974" s="48"/>
      <c r="AC974" s="19" t="str">
        <f>VLOOKUP(B974,SAOM!B$2:Q2000,16,0)</f>
        <v>-</v>
      </c>
      <c r="AD974" s="19">
        <f t="shared" si="47"/>
        <v>41301</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514</v>
      </c>
      <c r="I977" s="40" t="str">
        <f>VLOOKUP(B977,SAOM!B$2:E2972,4,0)</f>
        <v>Agendado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v>41213</v>
      </c>
      <c r="Y977" s="15" t="s">
        <v>5525</v>
      </c>
      <c r="Z977" s="19">
        <v>41213</v>
      </c>
      <c r="AA977" s="35"/>
      <c r="AB977" s="48"/>
      <c r="AC977" s="19" t="str">
        <f>VLOOKUP(B977,SAOM!B$2:Q2003,16,0)</f>
        <v>-</v>
      </c>
      <c r="AD977" s="19">
        <f t="shared" si="47"/>
        <v>41303</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Agendado</v>
      </c>
      <c r="J987" s="73" t="s">
        <v>681</v>
      </c>
      <c r="K987" s="73" t="s">
        <v>500</v>
      </c>
      <c r="L987" s="47" t="s">
        <v>3785</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4265</v>
      </c>
      <c r="Z987" s="82">
        <v>41212</v>
      </c>
      <c r="AA987" s="83"/>
      <c r="AB987" s="70"/>
      <c r="AC987" s="82" t="str">
        <f>VLOOKUP(B987,SAOM!B$2:Q2013,16,0)</f>
        <v>-</v>
      </c>
      <c r="AD987" s="82">
        <f t="shared" si="47"/>
        <v>41302</v>
      </c>
      <c r="AE987" s="82" t="s">
        <v>4665</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0" customFormat="1" ht="15.75" customHeight="1" x14ac:dyDescent="0.25">
      <c r="A1015" s="227">
        <v>4275</v>
      </c>
      <c r="B1015" s="228">
        <v>4275</v>
      </c>
      <c r="C1015" s="229">
        <v>41149</v>
      </c>
      <c r="D1015" s="229">
        <f t="shared" si="49"/>
        <v>41194</v>
      </c>
      <c r="E1015" s="229">
        <f>VLOOKUP(B1015,SAOM!B$2:D4065,3,0)</f>
        <v>41194</v>
      </c>
      <c r="F1015" s="229">
        <f t="shared" si="46"/>
        <v>41209</v>
      </c>
      <c r="G1015" s="229" t="s">
        <v>500</v>
      </c>
      <c r="H1015" s="230" t="s">
        <v>749</v>
      </c>
      <c r="I1015" s="228" t="str">
        <f>VLOOKUP(B1015,SAOM!B$2:E3010,4,0)</f>
        <v>Agendado</v>
      </c>
      <c r="J1015" s="230" t="s">
        <v>498</v>
      </c>
      <c r="K1015" s="230" t="s">
        <v>500</v>
      </c>
      <c r="L1015" s="231" t="s">
        <v>3049</v>
      </c>
      <c r="M1015" s="231" t="str">
        <f>VLOOKUP(L1015,Coordenadas!A$2:B2267,2,0)</f>
        <v xml:space="preserve"> 18°43'25.24"S</v>
      </c>
      <c r="N1015" s="231" t="str">
        <f>VLOOKUP(L1015,Coordenadas!A$2:C6010,3,0)</f>
        <v xml:space="preserve"> 49°10'14.10"O</v>
      </c>
      <c r="O1015" s="228" t="str">
        <f>VLOOKUP(B1015,SAOM!B$2:H1968,7,0)</f>
        <v>SES-CAIS-4275</v>
      </c>
      <c r="P1015" s="228">
        <v>4033</v>
      </c>
      <c r="Q1015" s="229">
        <f>VLOOKUP(B1015,SAOM!B$2:I1968,8,0)</f>
        <v>41166</v>
      </c>
      <c r="R1015" s="232" t="str">
        <f>VLOOKUP(B1015,SAOM!B$2:J1968,9,0)</f>
        <v>RAQUEL LAIZA ROCHA</v>
      </c>
      <c r="S1015" s="229" t="str">
        <f>VLOOKUP(B1015,SAOM!B$2:K2414,10,0)</f>
        <v>RUA 17 Nº 1.217 - IVETTI GUERREIRO DANIEL</v>
      </c>
      <c r="T1015" s="232" t="str">
        <f>VLOOKUP(B1015,SAOM!B$2:M1740,12,0)</f>
        <v>34-3266-3539</v>
      </c>
      <c r="U1015" s="233" t="str">
        <f>VLOOKUP(B1015,SAOM!B$2:L1740,11,0)</f>
        <v>38380-000</v>
      </c>
      <c r="V1015" s="234"/>
      <c r="W1015" s="228" t="str">
        <f>VLOOKUP(B1015,SAOM!B$2:N1740,13,0)</f>
        <v>00:20:0E:10:53:B6</v>
      </c>
      <c r="X1015" s="229">
        <v>41206</v>
      </c>
      <c r="Y1015" s="231" t="s">
        <v>8142</v>
      </c>
      <c r="Z1015" s="235"/>
      <c r="AA1015" s="236"/>
      <c r="AB1015" s="237"/>
      <c r="AC1015" s="235" t="str">
        <f>VLOOKUP(B1015,SAOM!B$2:Q2041,16,0)</f>
        <v>-</v>
      </c>
      <c r="AD1015" s="235">
        <f t="shared" si="47"/>
        <v>90</v>
      </c>
      <c r="AE1015" s="235" t="s">
        <v>4665</v>
      </c>
      <c r="AF1015" s="235"/>
      <c r="AG1015" s="238"/>
      <c r="AH1015" s="239"/>
      <c r="AI1015" s="239"/>
      <c r="AJ1015" s="23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96" customFormat="1" ht="15.75" customHeight="1" x14ac:dyDescent="0.25">
      <c r="A1018" s="88">
        <v>4271</v>
      </c>
      <c r="B1018" s="89">
        <v>4271</v>
      </c>
      <c r="C1018" s="90">
        <v>41149</v>
      </c>
      <c r="D1018" s="90">
        <f t="shared" si="49"/>
        <v>41194</v>
      </c>
      <c r="E1018" s="90">
        <f>VLOOKUP(B1018,SAOM!B$2:D4068,3,0)</f>
        <v>41194</v>
      </c>
      <c r="F1018" s="90">
        <f t="shared" si="46"/>
        <v>41209</v>
      </c>
      <c r="G1018" s="90">
        <v>41176</v>
      </c>
      <c r="H1018" s="91" t="s">
        <v>2448</v>
      </c>
      <c r="I1018" s="89" t="str">
        <f>VLOOKUP(B1018,SAOM!B$2:E3013,4,0)</f>
        <v>Agendado</v>
      </c>
      <c r="J1018" s="91" t="s">
        <v>498</v>
      </c>
      <c r="K1018" s="91" t="s">
        <v>500</v>
      </c>
      <c r="L1018" s="92" t="s">
        <v>7486</v>
      </c>
      <c r="M1018" s="92" t="str">
        <f>VLOOKUP(L1018,Coordenadas!A$2:B2270,2,0)</f>
        <v xml:space="preserve"> 22°26'27.06"S</v>
      </c>
      <c r="N1018" s="92" t="str">
        <f>VLOOKUP(L1018,Coordenadas!A$2:C6013,3,0)</f>
        <v xml:space="preserve"> 46°21'5.63"O</v>
      </c>
      <c r="O1018" s="89" t="str">
        <f>VLOOKUP(B1018,SAOM!B$2:H1971,7,0)</f>
        <v>SES-BUAO-4271</v>
      </c>
      <c r="P1018" s="89">
        <v>4033</v>
      </c>
      <c r="Q1018" s="90">
        <f>VLOOKUP(B1018,SAOM!B$2:I1971,8,0)</f>
        <v>41207</v>
      </c>
      <c r="R1018" s="93" t="str">
        <f>VLOOKUP(B1018,SAOM!B$2:J1971,9,0)</f>
        <v>Esther</v>
      </c>
      <c r="S1018" s="90" t="str">
        <f>VLOOKUP(B1018,SAOM!B$2:K2417,10,0)</f>
        <v>RUA PADRE ZEFERINO,190 - centro</v>
      </c>
      <c r="T1018" s="93" t="str">
        <f>VLOOKUP(B1018,SAOM!B$2:M1743,12,0)</f>
        <v>35- 3463-1323</v>
      </c>
      <c r="U1018" s="258" t="str">
        <f>VLOOKUP(B1018,SAOM!B$2:L1743,11,0)</f>
        <v>37578-000</v>
      </c>
      <c r="V1018" s="94"/>
      <c r="W1018" s="89" t="str">
        <f>VLOOKUP(B1018,SAOM!B$2:N1743,13,0)</f>
        <v>00:20:0E:10:4A:BF</v>
      </c>
      <c r="X1018" s="90">
        <v>41207</v>
      </c>
      <c r="Y1018" s="92" t="s">
        <v>7002</v>
      </c>
      <c r="Z1018" s="95"/>
      <c r="AA1018" s="259"/>
      <c r="AB1018" s="71"/>
      <c r="AC1018" s="95" t="str">
        <f>VLOOKUP(B1018,SAOM!B$2:Q2044,16,0)</f>
        <v>24/09/2012 10:13:43 	Hernan Martins Alves 	Telefone residencial.  	Pendência Ativação</v>
      </c>
      <c r="AD1018" s="95">
        <f t="shared" si="47"/>
        <v>90</v>
      </c>
      <c r="AE1018" s="95" t="s">
        <v>4665</v>
      </c>
      <c r="AF1018" s="95"/>
      <c r="AG1018" s="217"/>
      <c r="AH1018" s="148"/>
      <c r="AI1018" s="148"/>
      <c r="AJ1018" s="92"/>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7611</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6310</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7611</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9320</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9320</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7635</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9817</v>
      </c>
      <c r="Z1033" s="19">
        <v>41211</v>
      </c>
      <c r="AA1033" s="35"/>
      <c r="AB1033" s="48"/>
      <c r="AC1033" s="19" t="str">
        <f>VLOOKUP(B1033,SAOM!B$2:Q2059,16,0)</f>
        <v>-</v>
      </c>
      <c r="AD1033" s="19">
        <f t="shared" si="51"/>
        <v>41301</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Agendado</v>
      </c>
      <c r="J1035" s="14" t="s">
        <v>498</v>
      </c>
      <c r="K1035" s="14" t="s">
        <v>500</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v>41213</v>
      </c>
      <c r="Y1035" s="15" t="s">
        <v>9847</v>
      </c>
      <c r="Z1035" s="19">
        <v>41213</v>
      </c>
      <c r="AA1035" s="35"/>
      <c r="AB1035" s="48"/>
      <c r="AC1035" s="19" t="str">
        <f>VLOOKUP(B1035,SAOM!B$2:Q2061,16,0)</f>
        <v>-</v>
      </c>
      <c r="AD1035" s="19">
        <f t="shared" si="51"/>
        <v>41303</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96" customFormat="1" ht="15.75" customHeight="1" x14ac:dyDescent="0.25">
      <c r="A1037" s="88">
        <v>4368</v>
      </c>
      <c r="B1037" s="89">
        <v>4368</v>
      </c>
      <c r="C1037" s="90">
        <v>41155</v>
      </c>
      <c r="D1037" s="90">
        <f t="shared" si="49"/>
        <v>41200</v>
      </c>
      <c r="E1037" s="90">
        <f>VLOOKUP(B1037,SAOM!B$2:D4087,3,0)</f>
        <v>41200</v>
      </c>
      <c r="F1037" s="90">
        <f t="shared" si="50"/>
        <v>41215</v>
      </c>
      <c r="G1037" s="90" t="s">
        <v>500</v>
      </c>
      <c r="H1037" s="91" t="s">
        <v>2448</v>
      </c>
      <c r="I1037" s="89" t="str">
        <f>VLOOKUP(B1037,SAOM!B$2:E3032,4,0)</f>
        <v>Agendado</v>
      </c>
      <c r="J1037" s="91" t="s">
        <v>498</v>
      </c>
      <c r="K1037" s="91" t="s">
        <v>500</v>
      </c>
      <c r="L1037" s="92" t="s">
        <v>7635</v>
      </c>
      <c r="M1037" s="92" t="str">
        <f>VLOOKUP(L1037,Coordenadas!A$2:B2289,2,0)</f>
        <v xml:space="preserve"> 18°36'12.39"S</v>
      </c>
      <c r="N1037" s="92" t="str">
        <f>VLOOKUP(L1037,Coordenadas!A$2:C6032,3,0)</f>
        <v xml:space="preserve"> 48°41'24.09"O</v>
      </c>
      <c r="O1037" s="89" t="str">
        <f>VLOOKUP(B1037,SAOM!B$2:H1990,7,0)</f>
        <v>SES-TURA-4368</v>
      </c>
      <c r="P1037" s="89">
        <v>4033</v>
      </c>
      <c r="Q1037" s="90">
        <f>VLOOKUP(B1037,SAOM!B$2:I1990,8,0)</f>
        <v>41186</v>
      </c>
      <c r="R1037" s="93" t="str">
        <f>VLOOKUP(B1037,SAOM!B$2:J1990,9,0)</f>
        <v>PAULA CARDOSO EUQUERES</v>
      </c>
      <c r="S1037" s="90" t="str">
        <f>VLOOKUP(B1037,SAOM!B$2:K2436,10,0)</f>
        <v xml:space="preserve">RUA FRANCISCO DE PAULO LAMOUNIER S/Nº </v>
      </c>
      <c r="T1037" s="93" t="str">
        <f>VLOOKUP(B1037,SAOM!B$2:M1762,12,0)</f>
        <v>34-3281-0029</v>
      </c>
      <c r="U1037" s="258" t="str">
        <f>VLOOKUP(B1037,SAOM!B$2:L1762,11,0)</f>
        <v>38430-000</v>
      </c>
      <c r="V1037" s="94"/>
      <c r="W1037" s="89" t="str">
        <f>VLOOKUP(B1037,SAOM!B$2:N1762,13,0)</f>
        <v>00:20:0E:10:4A:5A</v>
      </c>
      <c r="X1037" s="90">
        <v>41207</v>
      </c>
      <c r="Y1037" s="92" t="s">
        <v>9750</v>
      </c>
      <c r="Z1037" s="95"/>
      <c r="AA1037" s="259"/>
      <c r="AB1037" s="71"/>
      <c r="AC1037" s="95" t="str">
        <f>VLOOKUP(B1037,SAOM!B$2:Q2063,16,0)</f>
        <v>-</v>
      </c>
      <c r="AD1037" s="95">
        <f t="shared" si="51"/>
        <v>90</v>
      </c>
      <c r="AE1037" s="95" t="s">
        <v>4665</v>
      </c>
      <c r="AF1037" s="95"/>
      <c r="AG1037" s="217"/>
      <c r="AH1037" s="148"/>
      <c r="AI1037" s="148"/>
      <c r="AJ1037" s="92"/>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514</v>
      </c>
      <c r="I1054" s="40" t="str">
        <f>VLOOKUP(B1054,SAOM!B$2:E3049,4,0)</f>
        <v>Agendado</v>
      </c>
      <c r="J1054" s="14" t="s">
        <v>498</v>
      </c>
      <c r="K1054" s="14" t="s">
        <v>500</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v>41213</v>
      </c>
      <c r="Y1054" s="15" t="s">
        <v>6940</v>
      </c>
      <c r="Z1054" s="19">
        <v>41213</v>
      </c>
      <c r="AA1054" s="35"/>
      <c r="AB1054" s="48"/>
      <c r="AC1054" s="19" t="str">
        <f>VLOOKUP(B1054,SAOM!B$2:Q2080,16,0)</f>
        <v>-</v>
      </c>
      <c r="AD1054" s="19">
        <f t="shared" si="51"/>
        <v>41303</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514</v>
      </c>
      <c r="I1056" s="40" t="str">
        <f>VLOOKUP(B1056,SAOM!B$2:E3051,4,0)</f>
        <v>Agendado</v>
      </c>
      <c r="J1056" s="14" t="s">
        <v>498</v>
      </c>
      <c r="K1056" s="14" t="s">
        <v>500</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v>41214</v>
      </c>
      <c r="Y1056" s="15" t="s">
        <v>5936</v>
      </c>
      <c r="Z1056" s="19">
        <v>41218</v>
      </c>
      <c r="AA1056" s="35"/>
      <c r="AB1056" s="48"/>
      <c r="AC1056" s="19" t="str">
        <f>VLOOKUP(B1056,SAOM!B$2:Q2082,16,0)</f>
        <v>-</v>
      </c>
      <c r="AD1056" s="19">
        <f t="shared" si="51"/>
        <v>41308</v>
      </c>
      <c r="AE1056" s="19" t="s">
        <v>4665</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Agendado</v>
      </c>
      <c r="J1057" s="73" t="s">
        <v>498</v>
      </c>
      <c r="K1057" s="73" t="s">
        <v>500</v>
      </c>
      <c r="L1057" s="47" t="s">
        <v>7724</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6940</v>
      </c>
      <c r="Z1057" s="82">
        <v>41213</v>
      </c>
      <c r="AA1057" s="83"/>
      <c r="AB1057" s="70"/>
      <c r="AC1057" s="82" t="str">
        <f>VLOOKUP(B1057,SAOM!B$2:Q2083,16,0)</f>
        <v>-</v>
      </c>
      <c r="AD1057" s="82">
        <f t="shared" si="51"/>
        <v>41303</v>
      </c>
      <c r="AE1057" s="82" t="s">
        <v>4665</v>
      </c>
      <c r="AF1057" s="82"/>
      <c r="AG1057" s="216"/>
      <c r="AH1057" s="147"/>
      <c r="AI1057" s="147"/>
      <c r="AJ1057" s="47"/>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Agendado</v>
      </c>
      <c r="J1060" s="73" t="s">
        <v>498</v>
      </c>
      <c r="K1060" s="73" t="s">
        <v>500</v>
      </c>
      <c r="L1060" s="47" t="s">
        <v>7724</v>
      </c>
      <c r="M1060" s="47" t="str">
        <f>VLOOKUP(L1060,Coordenadas!A$2:B2312,2,0)</f>
        <v xml:space="preserve"> 21°46'46.42"S</v>
      </c>
      <c r="N1060" s="47" t="str">
        <f>VLOOKUP(L1060,Coordenadas!A$2:C6055,3,0)</f>
        <v xml:space="preserve"> 45°58'1.78"O</v>
      </c>
      <c r="O1060" s="38" t="str">
        <f>VLOOKUP(B1060,SAOM!B$2:H2013,7,0)</f>
        <v>-</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v>
      </c>
      <c r="X1060" s="31">
        <v>41213</v>
      </c>
      <c r="Y1060" s="47" t="s">
        <v>6940</v>
      </c>
      <c r="Z1060" s="82">
        <v>41213</v>
      </c>
      <c r="AA1060" s="83"/>
      <c r="AB1060" s="70"/>
      <c r="AC1060" s="82" t="str">
        <f>VLOOKUP(B1060,SAOM!B$2:Q2086,16,0)</f>
        <v>-</v>
      </c>
      <c r="AD1060" s="82">
        <f t="shared" si="51"/>
        <v>41303</v>
      </c>
      <c r="AE1060" s="82" t="s">
        <v>4665</v>
      </c>
      <c r="AF1060" s="82"/>
      <c r="AG1060" s="216"/>
      <c r="AH1060" s="147"/>
      <c r="AI1060" s="147"/>
      <c r="AJ1060" s="47"/>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Agendado</v>
      </c>
      <c r="J1062" s="14" t="s">
        <v>498</v>
      </c>
      <c r="K1062" s="14" t="s">
        <v>500</v>
      </c>
      <c r="L1062" s="15" t="s">
        <v>7724</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00:20:0e:10:4b:0b</v>
      </c>
      <c r="X1062" s="17">
        <v>41211</v>
      </c>
      <c r="Y1062" s="15" t="s">
        <v>6940</v>
      </c>
      <c r="Z1062" s="19">
        <v>41212</v>
      </c>
      <c r="AA1062" s="35"/>
      <c r="AB1062" s="48"/>
      <c r="AC1062" s="19" t="str">
        <f>VLOOKUP(B1062,SAOM!B$2:Q2088,16,0)</f>
        <v>-</v>
      </c>
      <c r="AD1062" s="19">
        <f t="shared" si="51"/>
        <v>41302</v>
      </c>
      <c r="AE1062" s="19" t="s">
        <v>4665</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Agendado</v>
      </c>
      <c r="J1063" s="73" t="s">
        <v>498</v>
      </c>
      <c r="K1063" s="73" t="s">
        <v>500</v>
      </c>
      <c r="L1063" s="47" t="s">
        <v>7724</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6940</v>
      </c>
      <c r="Z1063" s="82">
        <v>41212</v>
      </c>
      <c r="AA1063" s="83"/>
      <c r="AB1063" s="70"/>
      <c r="AC1063" s="82" t="str">
        <f>VLOOKUP(B1063,SAOM!B$2:Q2089,16,0)</f>
        <v>-</v>
      </c>
      <c r="AD1063" s="82">
        <f t="shared" si="51"/>
        <v>41302</v>
      </c>
      <c r="AE1063" s="82" t="s">
        <v>4665</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7724</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6940</v>
      </c>
      <c r="Z1067" s="19">
        <v>41211</v>
      </c>
      <c r="AA1067" s="35"/>
      <c r="AB1067" s="48"/>
      <c r="AC1067" s="19" t="str">
        <f>VLOOKUP(B1067,SAOM!B$2:Q2093,16,0)</f>
        <v>-</v>
      </c>
      <c r="AD1067" s="19">
        <f t="shared" si="51"/>
        <v>41301</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Agendado</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4265</v>
      </c>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4265</v>
      </c>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4265</v>
      </c>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9344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8441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8507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6586</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514</v>
      </c>
      <c r="I1226" s="40" t="str">
        <f>VLOOKUP(B1226,SAOM!B$2:E3221,4,0)</f>
        <v>Agendado</v>
      </c>
      <c r="J1226" s="14" t="s">
        <v>498</v>
      </c>
      <c r="K1226" s="14" t="s">
        <v>500</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v>41214</v>
      </c>
      <c r="Y1226" s="15" t="s">
        <v>6940</v>
      </c>
      <c r="Z1226" s="19">
        <v>41218</v>
      </c>
      <c r="AA1226" s="35"/>
      <c r="AB1226" s="48"/>
      <c r="AC1226" s="19" t="str">
        <f>VLOOKUP(B1226,SAOM!B$2:Q2252,16,0)</f>
        <v>-</v>
      </c>
      <c r="AD1226" s="19">
        <f t="shared" si="60"/>
        <v>41308</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6" customFormat="1" ht="15.75" customHeight="1" x14ac:dyDescent="0.25">
      <c r="A1265" s="244">
        <v>4568</v>
      </c>
      <c r="B1265" s="245">
        <v>4568</v>
      </c>
      <c r="C1265" s="246">
        <v>41176</v>
      </c>
      <c r="D1265" s="246">
        <f t="shared" si="58"/>
        <v>41221</v>
      </c>
      <c r="E1265" s="246">
        <f>VLOOKUP(B1265,SAOM!B$2:D4315,3,0)</f>
        <v>41221</v>
      </c>
      <c r="F1265" s="246">
        <f t="shared" si="59"/>
        <v>41236</v>
      </c>
      <c r="G1265" s="246" t="s">
        <v>500</v>
      </c>
      <c r="H1265" s="247" t="s">
        <v>514</v>
      </c>
      <c r="I1265" s="245" t="str">
        <f>VLOOKUP(B1265,SAOM!B$2:E3260,4,0)</f>
        <v>Aceito</v>
      </c>
      <c r="J1265" s="247" t="s">
        <v>498</v>
      </c>
      <c r="K1265" s="247" t="s">
        <v>500</v>
      </c>
      <c r="L1265" s="257" t="s">
        <v>8777</v>
      </c>
      <c r="M1265" s="99" t="str">
        <f>VLOOKUP(L1265,Coordenadas!A$2:B2517,2,0)</f>
        <v xml:space="preserve"> 22°17'10.76"S</v>
      </c>
      <c r="N1265" s="99" t="str">
        <f>VLOOKUP(L1265,Coordenadas!A$2:C6260,3,0)</f>
        <v xml:space="preserve"> 46°36'44.52"O</v>
      </c>
      <c r="O1265" s="245" t="str">
        <f>VLOOKUP(B1265,SAOM!B$2:H2218,7,0)</f>
        <v>SES-JAGA-4568</v>
      </c>
      <c r="P1265" s="245">
        <v>4033</v>
      </c>
      <c r="Q1265" s="246">
        <f>VLOOKUP(B1265,SAOM!B$2:I2218,8,0)</f>
        <v>41197</v>
      </c>
      <c r="R1265" s="248" t="str">
        <f>VLOOKUP(B1265,SAOM!B$2:J2218,9,0)</f>
        <v>Enfermeiro Junior</v>
      </c>
      <c r="S1265" s="246" t="str">
        <f>VLOOKUP(B1265,SAOM!B$2:K2664,10,0)</f>
        <v>Rua Tarcizio Ramalho, 70</v>
      </c>
      <c r="T1265" s="248" t="str">
        <f>VLOOKUP(B1265,SAOM!B$2:M1990,12,0)</f>
        <v>35 3443 2365</v>
      </c>
      <c r="U1265" s="249" t="str">
        <f>VLOOKUP(B1265,SAOM!B$2:L1990,11,0)</f>
        <v>37590-000</v>
      </c>
      <c r="V1265" s="250"/>
      <c r="W1265" s="245" t="str">
        <f>VLOOKUP(B1265,SAOM!B$2:N1990,13,0)</f>
        <v>00:20:0E:10:4A:86</v>
      </c>
      <c r="X1265" s="246">
        <v>41206</v>
      </c>
      <c r="Y1265" s="99" t="s">
        <v>5964</v>
      </c>
      <c r="Z1265" s="251">
        <v>41206</v>
      </c>
      <c r="AA1265" s="252"/>
      <c r="AB1265" s="253"/>
      <c r="AC1265" s="251" t="str">
        <f>VLOOKUP(B1265,SAOM!B$2:Q2291,16,0)</f>
        <v>-</v>
      </c>
      <c r="AD1265" s="251">
        <f t="shared" si="60"/>
        <v>41296</v>
      </c>
      <c r="AE1265" s="251" t="s">
        <v>4665</v>
      </c>
      <c r="AF1265" s="251"/>
      <c r="AG1265" s="254"/>
      <c r="AH1265" s="255"/>
      <c r="AI1265" s="25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Agendado</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Agendado</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v>41218</v>
      </c>
      <c r="H1314" s="14" t="s">
        <v>761</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v>41218</v>
      </c>
      <c r="H1316" s="14" t="s">
        <v>761</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v>41218</v>
      </c>
      <c r="H1318" s="14" t="s">
        <v>761</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9344</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9344</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Agendado</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v>41218</v>
      </c>
      <c r="H1339" s="14" t="s">
        <v>761</v>
      </c>
      <c r="I1339" s="40" t="str">
        <f>VLOOKUP(B1339,SAOM!B$2:E3334,4,0)</f>
        <v>A agendar</v>
      </c>
      <c r="J1339" s="14" t="s">
        <v>498</v>
      </c>
      <c r="K1339" s="14" t="s">
        <v>505</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9344</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9344</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Agendado</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Agendado</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Aceito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Agendado</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Agendado</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Agendado</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Agendado</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Agendado</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Agendado</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846</v>
      </c>
      <c r="D2" s="65"/>
      <c r="E2" s="193" t="s">
        <v>7528</v>
      </c>
      <c r="F2" s="207">
        <v>8</v>
      </c>
      <c r="G2" s="65"/>
      <c r="H2" s="193" t="s">
        <v>1532</v>
      </c>
      <c r="I2" s="207">
        <v>8</v>
      </c>
      <c r="J2" s="193" t="s">
        <v>1773</v>
      </c>
      <c r="K2" s="207">
        <v>0</v>
      </c>
      <c r="M2" s="30" t="s">
        <v>8448</v>
      </c>
      <c r="N2" s="30">
        <v>18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69">
        <v>40</v>
      </c>
      <c r="D26" s="270"/>
      <c r="E26" s="269">
        <v>40</v>
      </c>
      <c r="F26" s="270"/>
      <c r="G26" s="269">
        <v>40</v>
      </c>
      <c r="H26" s="270"/>
      <c r="I26" s="269">
        <v>40</v>
      </c>
      <c r="J26" s="270"/>
      <c r="K26" s="269">
        <v>40</v>
      </c>
      <c r="L26" s="270"/>
      <c r="M26" s="167">
        <f>SUM(C26:L26)</f>
        <v>200</v>
      </c>
    </row>
    <row r="27" spans="2:14" ht="16.5" customHeight="1" x14ac:dyDescent="0.25">
      <c r="B27" s="161" t="s">
        <v>6197</v>
      </c>
      <c r="C27" s="269">
        <f>COUNTIFS(VODANET!$Z$5:$Z$4997,"&gt;="&amp;Mensal!C25,VODANET!$Z$5:$Z$4997,"&lt;="&amp;Mensal!D25)</f>
        <v>56</v>
      </c>
      <c r="D27" s="270"/>
      <c r="E27" s="269">
        <f>COUNTIFS(VODANET!$Z$5:$Z$4997,"&gt;="&amp;Mensal!E25,VODANET!$Z$5:$Z$4997,"&lt;="&amp;Mensal!F25)</f>
        <v>41</v>
      </c>
      <c r="F27" s="270"/>
      <c r="G27" s="269">
        <f>COUNTIFS(VODANET!$Z$5:$Z$4997,"&gt;="&amp;Mensal!G25,VODANET!$Z$5:$Z$4997,"&lt;="&amp;Mensal!H25)</f>
        <v>57</v>
      </c>
      <c r="H27" s="270"/>
      <c r="I27" s="269">
        <f>COUNTIFS(VODANET!$Z$5:$Z$4997,"&gt;="&amp;Mensal!I25,VODANET!$Z$5:$Z$4997,"&lt;="&amp;Mensal!J25)</f>
        <v>21</v>
      </c>
      <c r="J27" s="270"/>
      <c r="K27" s="269">
        <f>COUNTIFS(VODANET!$Z$5:$Z$4997,"&gt;="&amp;Mensal!K25,VODANET!$Z$5:$Z$4997,"&lt;="&amp;Mensal!L25)</f>
        <v>21</v>
      </c>
      <c r="L27" s="270"/>
      <c r="M27" s="167">
        <f>SUM(C27:L27)</f>
        <v>196</v>
      </c>
    </row>
    <row r="28" spans="2:14" ht="16.5" customHeight="1" thickBot="1" x14ac:dyDescent="0.3">
      <c r="B28" s="162" t="s">
        <v>7526</v>
      </c>
      <c r="C28" s="267">
        <v>0</v>
      </c>
      <c r="D28" s="268"/>
      <c r="E28" s="267">
        <v>0</v>
      </c>
      <c r="F28" s="268"/>
      <c r="G28" s="267">
        <v>0</v>
      </c>
      <c r="H28" s="268"/>
      <c r="I28" s="267">
        <v>0</v>
      </c>
      <c r="J28" s="268"/>
      <c r="K28" s="267">
        <v>6</v>
      </c>
      <c r="L28" s="268"/>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3</v>
      </c>
      <c r="D32" s="196">
        <f>COUNTIFS(VODANET!$J$5:$J$4997,"VODANET",VODANET!$H$5:$H$4997,"A ACEITAR")</f>
        <v>0</v>
      </c>
      <c r="E32" s="205">
        <f>SUM(C32:D32)</f>
        <v>3</v>
      </c>
      <c r="I32" s="30" t="s">
        <v>6199</v>
      </c>
    </row>
    <row r="33" spans="2:11" ht="16.5" customHeight="1" thickBot="1" x14ac:dyDescent="0.3">
      <c r="B33" s="194" t="s">
        <v>6205</v>
      </c>
      <c r="C33" s="200">
        <f>COUNTIFS(VODANET!$J$5:$J$4997,"LIDER",VODANET!$H$5:$H$4997,"EM ANDAMENTO")</f>
        <v>3</v>
      </c>
      <c r="D33" s="201">
        <f>COUNTIFS(VODANET!$J$5:$J$4997,"VODANET",VODANET!$H$5:$H$4997,"EM ANDAMENTO")</f>
        <v>0</v>
      </c>
      <c r="E33" s="206">
        <f>SUM(C33:D33)</f>
        <v>3</v>
      </c>
    </row>
    <row r="34" spans="2:11" ht="16.5" customHeight="1" thickBot="1" x14ac:dyDescent="0.3">
      <c r="C34" s="1"/>
      <c r="D34" s="202" t="s">
        <v>6195</v>
      </c>
      <c r="E34" s="203">
        <f>SUM(E31:E33)</f>
        <v>202</v>
      </c>
    </row>
    <row r="35" spans="2:11" ht="16.5" customHeight="1" thickBot="1" x14ac:dyDescent="0.3"/>
    <row r="36" spans="2:11" ht="16.5" customHeight="1" thickBot="1" x14ac:dyDescent="0.3">
      <c r="B36" s="192" t="s">
        <v>7165</v>
      </c>
      <c r="C36" s="207">
        <f>C2</f>
        <v>846</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69">
        <v>18</v>
      </c>
      <c r="D38" s="270"/>
      <c r="E38" s="269">
        <v>58</v>
      </c>
      <c r="F38" s="270"/>
      <c r="G38" s="269">
        <v>58</v>
      </c>
      <c r="H38" s="270"/>
      <c r="I38" s="269">
        <v>56</v>
      </c>
      <c r="J38" s="270"/>
      <c r="K38" s="167">
        <f>SUM(C38:J38)</f>
        <v>190</v>
      </c>
    </row>
    <row r="39" spans="2:11" ht="16.5" customHeight="1" x14ac:dyDescent="0.25">
      <c r="B39" s="161" t="s">
        <v>6197</v>
      </c>
      <c r="C39" s="269">
        <f>COUNTIFS(VODANET!$Z$5:$Z$4997,"&gt;="&amp;Mensal!C37,VODANET!$Z$5:$Z$4997,"&lt;="&amp;Mensal!D37)</f>
        <v>14</v>
      </c>
      <c r="D39" s="270"/>
      <c r="E39" s="269">
        <f>COUNTIFS(VODANET!$Z$5:$Z$4997,"&gt;="&amp;Mensal!E37,VODANET!$Z$5:$Z$4997,"&lt;="&amp;Mensal!F37)</f>
        <v>26</v>
      </c>
      <c r="F39" s="270"/>
      <c r="G39" s="269">
        <f>COUNTIFS(VODANET!$Z$5:$Z$4997,"&gt;="&amp;Mensal!G37,VODANET!$Z$5:$Z$4997,"&lt;="&amp;Mensal!H37)</f>
        <v>68</v>
      </c>
      <c r="H39" s="270"/>
      <c r="I39" s="269">
        <f>COUNTIFS(VODANET!$Z$5:$Z$4997,"&gt;="&amp;Mensal!I37,VODANET!$Z$5:$Z$4997,"&lt;="&amp;Mensal!J37)</f>
        <v>33</v>
      </c>
      <c r="J39" s="270"/>
      <c r="K39" s="167">
        <f>SUM(C39:J39)</f>
        <v>141</v>
      </c>
    </row>
    <row r="40" spans="2:11" ht="16.5" customHeight="1" thickBot="1" x14ac:dyDescent="0.3">
      <c r="B40" s="162" t="s">
        <v>7526</v>
      </c>
      <c r="C40" s="267">
        <v>7</v>
      </c>
      <c r="D40" s="268"/>
      <c r="E40" s="267">
        <v>16</v>
      </c>
      <c r="F40" s="268"/>
      <c r="G40" s="267">
        <v>6</v>
      </c>
      <c r="H40" s="268"/>
      <c r="I40" s="267">
        <v>15</v>
      </c>
      <c r="J40" s="268"/>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3</v>
      </c>
      <c r="D44" s="196">
        <f>COUNTIFS(VODANET!$J$5:$J$4997,"VODANET",VODANET!$H$5:$H$4997,"A ACEITAR")</f>
        <v>0</v>
      </c>
      <c r="E44" s="205">
        <f>SUM(C44:D44)</f>
        <v>3</v>
      </c>
      <c r="I44" s="30" t="s">
        <v>6199</v>
      </c>
    </row>
    <row r="45" spans="2:11" ht="16.5" customHeight="1" thickBot="1" x14ac:dyDescent="0.3">
      <c r="B45" s="194" t="s">
        <v>6205</v>
      </c>
      <c r="C45" s="200">
        <f>COUNTIFS(VODANET!$J$5:$J$4997,"LIDER",VODANET!$H$5:$H$4997,"EM ANDAMENTO")</f>
        <v>3</v>
      </c>
      <c r="D45" s="201">
        <f>COUNTIFS(VODANET!$J$5:$J$4997,"VODANET",VODANET!$H$5:$H$4997,"EM ANDAMENTO")</f>
        <v>0</v>
      </c>
      <c r="E45" s="206">
        <f>SUM(C45:D45)</f>
        <v>3</v>
      </c>
    </row>
    <row r="46" spans="2:11" ht="16.5" customHeight="1" thickBot="1" x14ac:dyDescent="0.3">
      <c r="C46" s="1"/>
      <c r="D46" s="202" t="s">
        <v>6195</v>
      </c>
      <c r="E46" s="203">
        <f>SUM(E43:E45)</f>
        <v>147</v>
      </c>
    </row>
    <row r="48" spans="2:11" ht="16.5" customHeight="1" thickBot="1" x14ac:dyDescent="0.3"/>
    <row r="49" spans="2:13" ht="16.5" customHeight="1" thickBot="1" x14ac:dyDescent="0.3">
      <c r="B49" s="192" t="s">
        <v>7165</v>
      </c>
      <c r="C49" s="207">
        <f>C2</f>
        <v>846</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69">
        <v>50</v>
      </c>
      <c r="D51" s="270"/>
      <c r="E51" s="269">
        <v>20</v>
      </c>
      <c r="F51" s="270"/>
      <c r="G51" s="269">
        <v>20</v>
      </c>
      <c r="H51" s="270"/>
      <c r="I51" s="269">
        <v>90</v>
      </c>
      <c r="J51" s="270"/>
      <c r="K51" s="269">
        <v>10</v>
      </c>
      <c r="L51" s="270"/>
      <c r="M51" s="167">
        <f>SUM(C51:L51)</f>
        <v>190</v>
      </c>
    </row>
    <row r="52" spans="2:13" ht="16.5" customHeight="1" x14ac:dyDescent="0.25">
      <c r="B52" s="161" t="s">
        <v>6197</v>
      </c>
      <c r="C52" s="269">
        <f>COUNTIFS(VODANET!$Z$5:$Z$4997,"&gt;="&amp;Mensal!C50,VODANET!$Z$5:$Z$4997,"&lt;="&amp;Mensal!D50)</f>
        <v>29</v>
      </c>
      <c r="D52" s="270"/>
      <c r="E52" s="269">
        <f>COUNTIFS(VODANET!$Z$5:$Z$4997,"&gt;="&amp;Mensal!E50,VODANET!$Z$5:$Z$4997,"&lt;="&amp;Mensal!F50)</f>
        <v>12</v>
      </c>
      <c r="F52" s="270"/>
      <c r="G52" s="269">
        <f>COUNTIFS(VODANET!$Z$5:$Z$4997,"&gt;="&amp;Mensal!G50,VODANET!$Z$5:$Z$4997,"&lt;="&amp;Mensal!H50)</f>
        <v>17</v>
      </c>
      <c r="H52" s="270"/>
      <c r="I52" s="269">
        <f>COUNTIFS(VODANET!$Z$5:$Z$4997,"&gt;="&amp;Mensal!I50,VODANET!$Z$5:$Z$4997,"&lt;="&amp;Mensal!J50)</f>
        <v>33</v>
      </c>
      <c r="J52" s="270"/>
      <c r="K52" s="269">
        <f>COUNTIFS(VODANET!$Z$5:$Z$4997,"&gt;="&amp;Mensal!K50,VODANET!$Z$5:$Z$4997,"&lt;="&amp;Mensal!L50)</f>
        <v>22</v>
      </c>
      <c r="L52" s="270"/>
      <c r="M52" s="167">
        <f>SUM(C52:L52)</f>
        <v>113</v>
      </c>
    </row>
    <row r="53" spans="2:13" ht="16.5" customHeight="1" thickBot="1" x14ac:dyDescent="0.3">
      <c r="B53" s="162" t="s">
        <v>7526</v>
      </c>
      <c r="C53" s="267">
        <v>3</v>
      </c>
      <c r="D53" s="268"/>
      <c r="E53" s="267">
        <v>7</v>
      </c>
      <c r="F53" s="268"/>
      <c r="G53" s="267">
        <v>6</v>
      </c>
      <c r="H53" s="268"/>
      <c r="I53" s="267">
        <v>0</v>
      </c>
      <c r="J53" s="268"/>
      <c r="K53" s="267">
        <v>0</v>
      </c>
      <c r="L53" s="268"/>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100</v>
      </c>
      <c r="D56" s="198">
        <f>COUNTIFS(VODANET!$Z$5:$Z$4997,"&gt;="&amp;C50,VODANET!$Z$5:$Z$4997,"&lt;="&amp;L50,VODANET!$J$5:$J$4997,"VODANET")</f>
        <v>13</v>
      </c>
      <c r="E56" s="204">
        <f>SUM(C56:D56)</f>
        <v>113</v>
      </c>
      <c r="I56" s="30" t="s">
        <v>6199</v>
      </c>
    </row>
    <row r="57" spans="2:13" ht="16.5" customHeight="1" thickBot="1" x14ac:dyDescent="0.3">
      <c r="B57" s="194" t="s">
        <v>6204</v>
      </c>
      <c r="C57" s="199">
        <f>COUNTIFS(VODANET!$J$5:$J$4997,"LIDER",VODANET!$H$5:$H$4997,"A ACEITAR")</f>
        <v>3</v>
      </c>
      <c r="D57" s="196">
        <f>COUNTIFS(VODANET!$J$5:$J$4997,"VODANET",VODANET!$H$5:$H$4997,"A ACEITAR")</f>
        <v>0</v>
      </c>
      <c r="E57" s="205">
        <f>SUM(C57:D57)</f>
        <v>3</v>
      </c>
      <c r="I57" s="30" t="s">
        <v>6199</v>
      </c>
    </row>
    <row r="58" spans="2:13" ht="16.5" customHeight="1" thickBot="1" x14ac:dyDescent="0.3">
      <c r="B58" s="194" t="s">
        <v>6205</v>
      </c>
      <c r="C58" s="200">
        <f>COUNTIFS(VODANET!$J$5:$J$4997,"LIDER",VODANET!$H$5:$H$4997,"EM ANDAMENTO")</f>
        <v>3</v>
      </c>
      <c r="D58" s="201">
        <f>COUNTIFS(VODANET!$J$5:$J$4997,"VODANET",VODANET!$H$5:$H$4997,"EM ANDAMENTO")</f>
        <v>0</v>
      </c>
      <c r="E58" s="206">
        <f>SUM(C58:D58)</f>
        <v>3</v>
      </c>
    </row>
    <row r="59" spans="2:13" ht="16.5" customHeight="1" thickBot="1" x14ac:dyDescent="0.3">
      <c r="C59" s="1"/>
      <c r="D59" s="202" t="s">
        <v>6195</v>
      </c>
      <c r="E59" s="203">
        <f>SUM(E56:E58)</f>
        <v>119</v>
      </c>
    </row>
    <row r="60" spans="2:13" ht="16.5" customHeight="1" thickBot="1" x14ac:dyDescent="0.3"/>
    <row r="61" spans="2:13" ht="16.5" customHeight="1" thickBot="1" x14ac:dyDescent="0.3">
      <c r="B61" s="192" t="s">
        <v>7165</v>
      </c>
      <c r="C61" s="207">
        <f>C2</f>
        <v>846</v>
      </c>
    </row>
    <row r="62" spans="2:13" ht="16.5" customHeight="1" thickBot="1" x14ac:dyDescent="0.3">
      <c r="B62" s="163" t="s">
        <v>9844</v>
      </c>
      <c r="C62" s="164">
        <v>41214</v>
      </c>
      <c r="D62" s="165">
        <v>41216</v>
      </c>
      <c r="E62" s="164">
        <v>41218</v>
      </c>
      <c r="F62" s="165">
        <v>41222</v>
      </c>
      <c r="G62" s="164">
        <v>41225</v>
      </c>
      <c r="H62" s="165">
        <v>41229</v>
      </c>
      <c r="I62" s="164">
        <v>41232</v>
      </c>
      <c r="J62" s="165">
        <v>41236</v>
      </c>
      <c r="K62" s="164">
        <v>41239</v>
      </c>
      <c r="L62" s="165">
        <v>41243</v>
      </c>
      <c r="M62" s="166" t="s">
        <v>6195</v>
      </c>
    </row>
    <row r="63" spans="2:13" ht="16.5" customHeight="1" x14ac:dyDescent="0.25">
      <c r="B63" s="161" t="s">
        <v>6196</v>
      </c>
      <c r="C63" s="269">
        <v>0</v>
      </c>
      <c r="D63" s="270"/>
      <c r="E63" s="269">
        <v>50</v>
      </c>
      <c r="F63" s="270"/>
      <c r="G63" s="269">
        <v>50</v>
      </c>
      <c r="H63" s="270"/>
      <c r="I63" s="269">
        <v>50</v>
      </c>
      <c r="J63" s="270"/>
      <c r="K63" s="269">
        <v>50</v>
      </c>
      <c r="L63" s="270"/>
      <c r="M63" s="167">
        <f>SUM(C63:L63)</f>
        <v>200</v>
      </c>
    </row>
    <row r="64" spans="2:13" ht="16.5" customHeight="1" x14ac:dyDescent="0.25">
      <c r="B64" s="161" t="s">
        <v>6197</v>
      </c>
      <c r="C64" s="269">
        <f>COUNTIFS(VODANET!$Z$5:$Z$4997,"&gt;="&amp;Mensal!C62,VODANET!$Z$5:$Z$4997,"&lt;="&amp;Mensal!D62)</f>
        <v>0</v>
      </c>
      <c r="D64" s="270"/>
      <c r="E64" s="269">
        <f>COUNTIFS(VODANET!$Z$5:$Z$4997,"&gt;="&amp;Mensal!E62,VODANET!$Z$5:$Z$4997,"&lt;="&amp;Mensal!F62)</f>
        <v>3</v>
      </c>
      <c r="F64" s="270"/>
      <c r="G64" s="269">
        <f>COUNTIFS(VODANET!$Z$5:$Z$4997,"&gt;="&amp;Mensal!G62,VODANET!$Z$5:$Z$4997,"&lt;="&amp;Mensal!H62)</f>
        <v>0</v>
      </c>
      <c r="H64" s="270"/>
      <c r="I64" s="269">
        <f>COUNTIFS(VODANET!$Z$5:$Z$4997,"&gt;="&amp;Mensal!I62,VODANET!$Z$5:$Z$4997,"&lt;="&amp;Mensal!J62)</f>
        <v>0</v>
      </c>
      <c r="J64" s="270"/>
      <c r="K64" s="269">
        <f>COUNTIFS(VODANET!$Z$5:$Z$4997,"&gt;="&amp;Mensal!K62,VODANET!$Z$5:$Z$4997,"&lt;="&amp;Mensal!L62)</f>
        <v>0</v>
      </c>
      <c r="L64" s="270"/>
      <c r="M64" s="167">
        <f>SUM(C64:L64)</f>
        <v>3</v>
      </c>
    </row>
    <row r="65" spans="2:13" ht="16.5" customHeight="1" thickBot="1" x14ac:dyDescent="0.3">
      <c r="B65" s="162" t="s">
        <v>7526</v>
      </c>
      <c r="C65" s="267">
        <v>8</v>
      </c>
      <c r="D65" s="268"/>
      <c r="E65" s="267">
        <v>0</v>
      </c>
      <c r="F65" s="268"/>
      <c r="G65" s="267">
        <v>0</v>
      </c>
      <c r="H65" s="268"/>
      <c r="I65" s="267">
        <v>0</v>
      </c>
      <c r="J65" s="268"/>
      <c r="K65" s="267">
        <v>0</v>
      </c>
      <c r="L65" s="268"/>
      <c r="M65" s="168"/>
    </row>
    <row r="66" spans="2:13" ht="16.5" customHeight="1" thickBot="1" x14ac:dyDescent="0.3">
      <c r="B66" s="30" t="s">
        <v>6198</v>
      </c>
      <c r="C66" s="30" t="s">
        <v>6198</v>
      </c>
      <c r="E66" s="30" t="s">
        <v>6198</v>
      </c>
      <c r="G66" s="30" t="s">
        <v>6198</v>
      </c>
      <c r="I66" s="30" t="s">
        <v>6198</v>
      </c>
    </row>
    <row r="67" spans="2:13" ht="16.5" customHeight="1" thickBot="1" x14ac:dyDescent="0.3">
      <c r="B67" s="30" t="s">
        <v>6199</v>
      </c>
      <c r="C67" s="195" t="s">
        <v>6200</v>
      </c>
      <c r="D67" s="195" t="s">
        <v>6201</v>
      </c>
      <c r="E67" s="195" t="s">
        <v>6202</v>
      </c>
      <c r="I67" s="30" t="s">
        <v>6199</v>
      </c>
    </row>
    <row r="68" spans="2:13" ht="16.5" customHeight="1" thickBot="1" x14ac:dyDescent="0.3">
      <c r="B68" s="194" t="s">
        <v>6203</v>
      </c>
      <c r="C68" s="197">
        <f>COUNTIFS(VODANET!$Z$5:$Z$4997,"&gt;="&amp;Mensal!$C$62,VODANET!$Z$5:$Z$4997,"&lt;="&amp;Mensal!$L$50,VODANET!$J$5:$J$4997,"LIDER")</f>
        <v>0</v>
      </c>
      <c r="D68" s="198">
        <f>COUNTIFS(VODANET!$Z$5:$Z$4997,"&gt;="&amp;C62,VODANET!$Z$5:$Z$4997,"&lt;="&amp;L62,VODANET!$J$5:$J$4997,"VODANET")</f>
        <v>0</v>
      </c>
      <c r="E68" s="204">
        <f>SUM(C68:D68)</f>
        <v>0</v>
      </c>
      <c r="I68" s="30" t="s">
        <v>6199</v>
      </c>
    </row>
    <row r="69" spans="2:13" ht="16.5" customHeight="1" thickBot="1" x14ac:dyDescent="0.3">
      <c r="B69" s="194" t="s">
        <v>6204</v>
      </c>
      <c r="C69" s="199">
        <f>COUNTIFS(VODANET!$J$5:$J$4997,"LIDER",VODANET!$H$5:$H$4997,"A ACEITAR")</f>
        <v>3</v>
      </c>
      <c r="D69" s="196">
        <f>COUNTIFS(VODANET!$J$5:$J$4997,"VODANET",VODANET!$H$5:$H$4997,"A ACEITAR")</f>
        <v>0</v>
      </c>
      <c r="E69" s="205">
        <f>SUM(C69:D69)</f>
        <v>3</v>
      </c>
      <c r="I69" s="30" t="s">
        <v>6199</v>
      </c>
    </row>
    <row r="70" spans="2:13" ht="16.5" customHeight="1" thickBot="1" x14ac:dyDescent="0.3">
      <c r="B70" s="194" t="s">
        <v>6205</v>
      </c>
      <c r="C70" s="200">
        <f>COUNTIFS(VODANET!$J$5:$J$4997,"LIDER",VODANET!$H$5:$H$4997,"EM ANDAMENTO")</f>
        <v>3</v>
      </c>
      <c r="D70" s="201">
        <f>COUNTIFS(VODANET!$J$5:$J$4997,"VODANET",VODANET!$H$5:$H$4997,"EM ANDAMENTO")</f>
        <v>0</v>
      </c>
      <c r="E70" s="206">
        <f>SUM(C70:D70)</f>
        <v>3</v>
      </c>
    </row>
    <row r="71" spans="2:13" ht="16.5" customHeight="1" thickBot="1" x14ac:dyDescent="0.3">
      <c r="C71" s="1"/>
      <c r="D71" s="202" t="s">
        <v>6195</v>
      </c>
      <c r="E71" s="203">
        <f>SUM(E68:E70)</f>
        <v>6</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 ref="C63:D63"/>
    <mergeCell ref="E63:F63"/>
    <mergeCell ref="G63:H63"/>
    <mergeCell ref="I63:J63"/>
    <mergeCell ref="K63:L63"/>
    <mergeCell ref="C64:D64"/>
    <mergeCell ref="E64:F64"/>
    <mergeCell ref="G64:H64"/>
    <mergeCell ref="I64:J64"/>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1:E104857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41211</v>
      </c>
      <c r="D2" s="189">
        <v>41214</v>
      </c>
    </row>
    <row r="3" spans="2:7" ht="16.5" customHeight="1" thickBot="1" x14ac:dyDescent="0.3"/>
    <row r="4" spans="2:7" ht="26.25" customHeight="1" thickBot="1" x14ac:dyDescent="0.3">
      <c r="B4" s="186" t="s">
        <v>7512</v>
      </c>
      <c r="C4" s="187" t="s">
        <v>7513</v>
      </c>
      <c r="D4" s="273" t="s">
        <v>7514</v>
      </c>
      <c r="E4" s="274"/>
    </row>
    <row r="5" spans="2:7" ht="16.5" customHeight="1" x14ac:dyDescent="0.25">
      <c r="B5" s="177" t="s">
        <v>7515</v>
      </c>
      <c r="C5" s="178">
        <f>COUNTIF(VODANET!C5:C4997,"&lt;="&amp;D5)</f>
        <v>1348</v>
      </c>
      <c r="D5" s="179">
        <f>C2-3</f>
        <v>41208</v>
      </c>
      <c r="E5" s="180">
        <f>D5-4</f>
        <v>41204</v>
      </c>
    </row>
    <row r="6" spans="2:7" ht="16.5" customHeight="1" x14ac:dyDescent="0.25">
      <c r="B6" s="170" t="s">
        <v>7516</v>
      </c>
      <c r="C6" s="172">
        <f>COUNTIFS(VODANET!C5:C4997,"&gt;="&amp;Semanal!C2,VODANET!C5:C4997,"&lt;="&amp;Semanal!D2)</f>
        <v>0</v>
      </c>
      <c r="D6" s="175">
        <f>C2</f>
        <v>41211</v>
      </c>
      <c r="E6" s="176">
        <f>D2</f>
        <v>41214</v>
      </c>
    </row>
    <row r="7" spans="2:7" ht="16.5" customHeight="1" x14ac:dyDescent="0.25">
      <c r="B7" s="181" t="s">
        <v>7522</v>
      </c>
      <c r="C7" s="182">
        <f>COUNTIF(VODANET!Z5:Z4997,"&lt;="&amp;D5)+Mensal!F2</f>
        <v>829</v>
      </c>
      <c r="D7" s="183">
        <f>D5</f>
        <v>41208</v>
      </c>
      <c r="E7" s="184">
        <f>D7-4</f>
        <v>41204</v>
      </c>
    </row>
    <row r="8" spans="2:7" ht="16.5" customHeight="1" x14ac:dyDescent="0.25">
      <c r="B8" s="170" t="s">
        <v>7517</v>
      </c>
      <c r="C8" s="173">
        <f>Mensal!E59-Mensal!N2</f>
        <v>101</v>
      </c>
      <c r="D8" s="175">
        <f>C2</f>
        <v>41211</v>
      </c>
      <c r="E8" s="176">
        <f>D2</f>
        <v>41214</v>
      </c>
    </row>
    <row r="9" spans="2:7" ht="16.5" customHeight="1" x14ac:dyDescent="0.25">
      <c r="B9" s="181" t="s">
        <v>7518</v>
      </c>
      <c r="C9" s="185">
        <f>Mensal!F2</f>
        <v>8</v>
      </c>
      <c r="D9" s="271" t="s">
        <v>7519</v>
      </c>
      <c r="E9" s="272"/>
      <c r="G9" s="211"/>
    </row>
    <row r="10" spans="2:7" ht="16.5" customHeight="1" x14ac:dyDescent="0.25">
      <c r="B10" s="170" t="s">
        <v>7523</v>
      </c>
      <c r="C10" s="172">
        <f>COUNTIF(VODANET!Z5:Z4997,"&lt;="&amp;Semanal!D5)</f>
        <v>821</v>
      </c>
      <c r="D10" s="175">
        <f>D5</f>
        <v>41208</v>
      </c>
      <c r="E10" s="176">
        <f>E5</f>
        <v>41204</v>
      </c>
    </row>
    <row r="11" spans="2:7" ht="16.5" customHeight="1" x14ac:dyDescent="0.25">
      <c r="B11" s="181" t="s">
        <v>7520</v>
      </c>
      <c r="C11" s="185">
        <f>COUNTIFS(VODANET!Z5:Z4997,"&gt;="&amp;Semanal!C2,VODANET!Z5:Z4997,"&lt;="&amp;Semanal!D2)</f>
        <v>22</v>
      </c>
      <c r="D11" s="183">
        <f>C2</f>
        <v>41211</v>
      </c>
      <c r="E11" s="184">
        <f>D2</f>
        <v>41214</v>
      </c>
    </row>
    <row r="12" spans="2:7" ht="16.5" customHeight="1" x14ac:dyDescent="0.25">
      <c r="B12" s="170" t="s">
        <v>8446</v>
      </c>
      <c r="C12" s="173">
        <f>COUNTIFS(VODANET!Z5:Z4997,"&gt;="&amp;Semanal!D12,VODANET!Z5:Z4997,"&lt;="&amp;Semanal!E12,VODANET!J5:J4997,"LIDER")</f>
        <v>100</v>
      </c>
      <c r="D12" s="175">
        <v>41183</v>
      </c>
      <c r="E12" s="176">
        <v>41213</v>
      </c>
    </row>
    <row r="13" spans="2:7" ht="16.5" customHeight="1" x14ac:dyDescent="0.25">
      <c r="B13" s="181" t="s">
        <v>7524</v>
      </c>
      <c r="C13" s="182">
        <f>COUNTIFS(VODANET!Z5:Z4997,"&gt;="&amp;Semanal!C2,VODANET!Z5:Z4997,"&lt;="&amp;Semanal!D2,VODANET!J5:J4997,"LIDER")+Mensal!I2</f>
        <v>28</v>
      </c>
      <c r="D13" s="183">
        <f>C2</f>
        <v>41211</v>
      </c>
      <c r="E13" s="184">
        <f>D2</f>
        <v>41214</v>
      </c>
    </row>
    <row r="14" spans="2:7" ht="16.5" customHeight="1" x14ac:dyDescent="0.25">
      <c r="B14" s="170" t="s">
        <v>8447</v>
      </c>
      <c r="C14" s="173">
        <f>COUNTIFS(VODANET!Z5:Z4997,"&gt;="&amp;Semanal!D14,VODANET!Z5:Z4997,"&lt;="&amp;Semanal!E14,VODANET!J5:J4997,"VODANET")+Mensal!K2</f>
        <v>13</v>
      </c>
      <c r="D14" s="175">
        <v>41183</v>
      </c>
      <c r="E14" s="176">
        <v>41213</v>
      </c>
    </row>
    <row r="15" spans="2:7" ht="16.5" customHeight="1" x14ac:dyDescent="0.25">
      <c r="B15" s="181" t="s">
        <v>7521</v>
      </c>
      <c r="C15" s="182">
        <f>COUNTIFS(VODANET!Z5:Z4997,"&gt;="&amp;Semanal!C2,VODANET!Z5:Z4997,"&lt;="&amp;Semanal!D2,VODANET!J5:J4997,"VODANET")+Mensal!K2</f>
        <v>2</v>
      </c>
      <c r="D15" s="183">
        <f>C2</f>
        <v>41211</v>
      </c>
      <c r="E15" s="184">
        <f>D2</f>
        <v>41214</v>
      </c>
    </row>
    <row r="16" spans="2:7" ht="16.5" customHeight="1" thickBot="1" x14ac:dyDescent="0.3">
      <c r="B16" s="171" t="s">
        <v>7525</v>
      </c>
      <c r="C16" s="174">
        <v>50</v>
      </c>
      <c r="D16" s="190">
        <f>D2+3</f>
        <v>41217</v>
      </c>
      <c r="E16" s="191">
        <f>D16+4</f>
        <v>41221</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846</v>
      </c>
    </row>
    <row r="4" spans="2:3" s="30" customFormat="1" x14ac:dyDescent="0.25">
      <c r="B4" s="23" t="s">
        <v>2448</v>
      </c>
      <c r="C4" s="9">
        <f>COUNTIF(VODANET!H6:H5000,"A ACEITAR")</f>
        <v>3</v>
      </c>
    </row>
    <row r="5" spans="2:3" x14ac:dyDescent="0.25">
      <c r="B5" s="24" t="s">
        <v>761</v>
      </c>
      <c r="C5" s="25">
        <f>COUNTIF(VODANET!H5:H5000,"PARALISADO")</f>
        <v>37</v>
      </c>
    </row>
    <row r="6" spans="2:3" x14ac:dyDescent="0.25">
      <c r="B6" s="23" t="s">
        <v>749</v>
      </c>
      <c r="C6" s="9">
        <f>COUNTIF(VODANET!H5:H5000,"A AGENDAR")</f>
        <v>321</v>
      </c>
    </row>
    <row r="7" spans="2:3" x14ac:dyDescent="0.25">
      <c r="B7" s="24" t="s">
        <v>487</v>
      </c>
      <c r="C7" s="25">
        <f>COUNTIF(VODANET!H5:H5000,"EM ANDAMENTO")</f>
        <v>3</v>
      </c>
    </row>
    <row r="8" spans="2:3" x14ac:dyDescent="0.25">
      <c r="B8" s="23" t="s">
        <v>679</v>
      </c>
      <c r="C8" s="9">
        <f>COUNTIF(VODANET!H5:H5000,"AGENDADO")</f>
        <v>9</v>
      </c>
    </row>
    <row r="9" spans="2:3" s="30" customFormat="1" ht="15.75" thickBot="1" x14ac:dyDescent="0.3">
      <c r="B9" s="24" t="s">
        <v>5963</v>
      </c>
      <c r="C9" s="25">
        <f>COUNTIF(VODANET!H6:H5000,"CANCELADO")</f>
        <v>16</v>
      </c>
    </row>
    <row r="10" spans="2:3" ht="15.75" thickBot="1" x14ac:dyDescent="0.3">
      <c r="B10" s="26" t="s">
        <v>510</v>
      </c>
      <c r="C10" s="27">
        <f>SUM(C3:C9)</f>
        <v>1235</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125</v>
      </c>
    </row>
    <row r="55" spans="1:15" x14ac:dyDescent="0.25">
      <c r="B55" s="24" t="s">
        <v>512</v>
      </c>
      <c r="C55" s="25">
        <f>COUNTIF(VODANET!K$5:K990,"SAUDE")</f>
        <v>60</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785</v>
      </c>
    </row>
    <row r="59" spans="1:15" ht="15.75" thickBot="1" x14ac:dyDescent="0.3">
      <c r="B59" s="26" t="s">
        <v>510</v>
      </c>
      <c r="C59" s="27">
        <f>SUM(C54:C58)</f>
        <v>971</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9819</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9820</v>
      </c>
      <c r="I445" s="44">
        <v>41197</v>
      </c>
      <c r="J445" t="s">
        <v>3489</v>
      </c>
      <c r="K445" t="s">
        <v>3490</v>
      </c>
      <c r="L445" t="s">
        <v>5175</v>
      </c>
      <c r="M445" s="44" t="s">
        <v>7535</v>
      </c>
      <c r="N445" s="44" t="s">
        <v>9821</v>
      </c>
      <c r="O445" s="44" t="s">
        <v>8142</v>
      </c>
      <c r="P445" s="43" t="s">
        <v>7416</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1531</v>
      </c>
      <c r="F447" t="s">
        <v>1532</v>
      </c>
      <c r="G447" t="s">
        <v>3315</v>
      </c>
      <c r="H447" s="44" t="s">
        <v>9751</v>
      </c>
      <c r="I447" s="44">
        <v>41197</v>
      </c>
      <c r="J447" t="s">
        <v>3494</v>
      </c>
      <c r="K447" t="s">
        <v>3495</v>
      </c>
      <c r="L447" t="s">
        <v>5176</v>
      </c>
      <c r="M447" s="44" t="s">
        <v>7539</v>
      </c>
      <c r="N447" s="44" t="s">
        <v>9808</v>
      </c>
      <c r="O447" s="44" t="s">
        <v>9313</v>
      </c>
      <c r="P447" s="43">
        <v>41211</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1531</v>
      </c>
      <c r="F449" t="s">
        <v>1532</v>
      </c>
      <c r="G449" t="s">
        <v>3315</v>
      </c>
      <c r="H449" s="44" t="s">
        <v>9822</v>
      </c>
      <c r="I449" s="44">
        <v>41197</v>
      </c>
      <c r="J449" t="s">
        <v>3497</v>
      </c>
      <c r="K449" t="s">
        <v>3498</v>
      </c>
      <c r="L449" t="s">
        <v>5178</v>
      </c>
      <c r="M449" s="44" t="s">
        <v>7543</v>
      </c>
      <c r="N449" s="44" t="s">
        <v>9823</v>
      </c>
      <c r="O449" s="44" t="s">
        <v>500</v>
      </c>
      <c r="P449" s="43">
        <v>41212</v>
      </c>
      <c r="Q449" s="44" t="s">
        <v>7544</v>
      </c>
      <c r="R449" s="44" t="s">
        <v>500</v>
      </c>
    </row>
    <row r="450" spans="1:18" ht="18" customHeight="1" x14ac:dyDescent="0.25">
      <c r="A450">
        <v>3526</v>
      </c>
      <c r="B450">
        <v>3526</v>
      </c>
      <c r="C450" s="3">
        <v>41047</v>
      </c>
      <c r="D450">
        <v>41182</v>
      </c>
      <c r="E450" t="s">
        <v>1596</v>
      </c>
      <c r="F450" t="s">
        <v>1532</v>
      </c>
      <c r="G450" t="s">
        <v>3315</v>
      </c>
      <c r="H450" s="44" t="s">
        <v>9824</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1531</v>
      </c>
      <c r="F541" t="s">
        <v>1532</v>
      </c>
      <c r="G541" t="s">
        <v>175</v>
      </c>
      <c r="H541" s="44" t="s">
        <v>9825</v>
      </c>
      <c r="I541" s="44">
        <v>41169</v>
      </c>
      <c r="J541" t="s">
        <v>4026</v>
      </c>
      <c r="K541" t="s">
        <v>4027</v>
      </c>
      <c r="L541" t="s">
        <v>5840</v>
      </c>
      <c r="M541" s="44" t="s">
        <v>7224</v>
      </c>
      <c r="N541" s="44" t="s">
        <v>9826</v>
      </c>
      <c r="O541" s="44" t="s">
        <v>8795</v>
      </c>
      <c r="P541" s="43">
        <v>41211</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1531</v>
      </c>
      <c r="F545" t="s">
        <v>1532</v>
      </c>
      <c r="G545" t="s">
        <v>175</v>
      </c>
      <c r="H545" s="44" t="s">
        <v>9809</v>
      </c>
      <c r="I545" s="44">
        <v>41169</v>
      </c>
      <c r="J545" t="s">
        <v>4037</v>
      </c>
      <c r="K545" t="s">
        <v>4038</v>
      </c>
      <c r="L545" t="s">
        <v>5840</v>
      </c>
      <c r="M545" s="44" t="s">
        <v>4039</v>
      </c>
      <c r="N545" s="44" t="s">
        <v>9810</v>
      </c>
      <c r="O545" s="44" t="s">
        <v>8795</v>
      </c>
      <c r="P545" s="43">
        <v>41211</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1531</v>
      </c>
      <c r="F659" t="s">
        <v>1532</v>
      </c>
      <c r="G659" t="s">
        <v>175</v>
      </c>
      <c r="H659" s="44" t="s">
        <v>9753</v>
      </c>
      <c r="I659" s="44">
        <v>41204</v>
      </c>
      <c r="J659" t="s">
        <v>9240</v>
      </c>
      <c r="K659" t="s">
        <v>9241</v>
      </c>
      <c r="L659" t="s">
        <v>5840</v>
      </c>
      <c r="M659" t="s">
        <v>5396</v>
      </c>
      <c r="N659" s="44" t="s">
        <v>9811</v>
      </c>
      <c r="O659" s="44" t="s">
        <v>8795</v>
      </c>
      <c r="P659" s="44">
        <v>41208</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2756</v>
      </c>
      <c r="H684" s="44" t="s">
        <v>500</v>
      </c>
      <c r="I684" s="44">
        <v>41236</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1531</v>
      </c>
      <c r="F764" t="s">
        <v>1532</v>
      </c>
      <c r="G764" t="s">
        <v>1897</v>
      </c>
      <c r="H764" s="44" t="s">
        <v>9758</v>
      </c>
      <c r="I764" s="44">
        <v>41178</v>
      </c>
      <c r="J764" t="s">
        <v>6052</v>
      </c>
      <c r="K764" t="s">
        <v>6053</v>
      </c>
      <c r="L764" t="s">
        <v>6054</v>
      </c>
      <c r="M764" t="s">
        <v>7367</v>
      </c>
      <c r="N764" s="44" t="s">
        <v>9759</v>
      </c>
      <c r="O764" s="44" t="s">
        <v>8140</v>
      </c>
      <c r="P764" s="44">
        <v>41208</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1531</v>
      </c>
      <c r="F781" t="s">
        <v>1532</v>
      </c>
      <c r="G781" t="s">
        <v>1897</v>
      </c>
      <c r="H781" s="44" t="s">
        <v>9812</v>
      </c>
      <c r="I781" s="44">
        <v>41162</v>
      </c>
      <c r="J781" t="s">
        <v>6052</v>
      </c>
      <c r="K781" t="s">
        <v>6086</v>
      </c>
      <c r="L781">
        <v>4012</v>
      </c>
      <c r="M781" t="s">
        <v>7400</v>
      </c>
      <c r="N781" s="44" t="s">
        <v>9813</v>
      </c>
      <c r="O781" s="44" t="s">
        <v>8343</v>
      </c>
      <c r="P781" s="44">
        <v>41211</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1531</v>
      </c>
      <c r="F784" t="s">
        <v>1532</v>
      </c>
      <c r="G784" t="s">
        <v>1897</v>
      </c>
      <c r="H784" s="44" t="s">
        <v>9496</v>
      </c>
      <c r="I784" s="44">
        <v>41206</v>
      </c>
      <c r="J784" t="s">
        <v>6057</v>
      </c>
      <c r="K784" t="s">
        <v>6090</v>
      </c>
      <c r="L784" t="s">
        <v>6091</v>
      </c>
      <c r="M784">
        <v>38392605</v>
      </c>
      <c r="N784" s="44" t="s">
        <v>9497</v>
      </c>
      <c r="O784" s="44" t="s">
        <v>8140</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1531</v>
      </c>
      <c r="F986" t="s">
        <v>1773</v>
      </c>
      <c r="G986" t="s">
        <v>3785</v>
      </c>
      <c r="H986" s="44" t="s">
        <v>9827</v>
      </c>
      <c r="I986" s="44">
        <v>41211</v>
      </c>
      <c r="J986" t="s">
        <v>7287</v>
      </c>
      <c r="K986" t="s">
        <v>7288</v>
      </c>
      <c r="L986" t="s">
        <v>5246</v>
      </c>
      <c r="M986" t="s">
        <v>7289</v>
      </c>
      <c r="N986" s="44" t="s">
        <v>9828</v>
      </c>
      <c r="O986" s="44" t="s">
        <v>4265</v>
      </c>
      <c r="P986" s="44">
        <v>41211</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1596</v>
      </c>
      <c r="F999" t="s">
        <v>1773</v>
      </c>
      <c r="G999" t="s">
        <v>3785</v>
      </c>
      <c r="H999" s="44" t="s">
        <v>9829</v>
      </c>
      <c r="I999" s="44">
        <v>41212</v>
      </c>
      <c r="J999" t="s">
        <v>7287</v>
      </c>
      <c r="K999" t="s">
        <v>7319</v>
      </c>
      <c r="L999" t="s">
        <v>5246</v>
      </c>
      <c r="M999" t="s">
        <v>7289</v>
      </c>
      <c r="N999" s="44" t="s">
        <v>9830</v>
      </c>
      <c r="O999" s="44" t="s">
        <v>6382</v>
      </c>
      <c r="P999" s="44" t="s">
        <v>7416</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1531</v>
      </c>
      <c r="F1037" t="s">
        <v>1532</v>
      </c>
      <c r="G1037" t="s">
        <v>7611</v>
      </c>
      <c r="H1037" s="44" t="s">
        <v>9831</v>
      </c>
      <c r="I1037" s="44">
        <v>41163</v>
      </c>
      <c r="J1037" t="s">
        <v>7612</v>
      </c>
      <c r="K1037" t="s">
        <v>8663</v>
      </c>
      <c r="L1037" t="s">
        <v>7613</v>
      </c>
      <c r="M1037" t="s">
        <v>7614</v>
      </c>
      <c r="N1037" s="44" t="s">
        <v>9832</v>
      </c>
      <c r="O1037" s="44" t="s">
        <v>9263</v>
      </c>
      <c r="P1037" s="44">
        <v>41211</v>
      </c>
      <c r="Q1037" s="44" t="s">
        <v>8456</v>
      </c>
    </row>
    <row r="1038" spans="1:18" ht="18" customHeight="1" x14ac:dyDescent="0.25">
      <c r="A1038">
        <v>4379</v>
      </c>
      <c r="B1038">
        <v>4379</v>
      </c>
      <c r="C1038" s="3">
        <v>41155</v>
      </c>
      <c r="D1038">
        <v>41200</v>
      </c>
      <c r="E1038" t="s">
        <v>1596</v>
      </c>
      <c r="F1038" t="s">
        <v>1532</v>
      </c>
      <c r="G1038" t="s">
        <v>7611</v>
      </c>
      <c r="H1038" s="44" t="s">
        <v>9833</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1531</v>
      </c>
      <c r="F1045" t="s">
        <v>1532</v>
      </c>
      <c r="G1045" t="s">
        <v>7635</v>
      </c>
      <c r="H1045" s="44" t="s">
        <v>9834</v>
      </c>
      <c r="I1045" s="44">
        <v>41186</v>
      </c>
      <c r="J1045" t="s">
        <v>7636</v>
      </c>
      <c r="K1045" t="s">
        <v>7637</v>
      </c>
      <c r="L1045" t="s">
        <v>7638</v>
      </c>
      <c r="M1045" t="s">
        <v>7639</v>
      </c>
      <c r="N1045" s="44" t="s">
        <v>9832</v>
      </c>
      <c r="O1045" s="44" t="s">
        <v>500</v>
      </c>
      <c r="P1045" s="44">
        <v>41211</v>
      </c>
      <c r="Q1045" s="44" t="s">
        <v>500</v>
      </c>
    </row>
    <row r="1046" spans="1:17" ht="18" customHeight="1" x14ac:dyDescent="0.25">
      <c r="A1046">
        <v>4372</v>
      </c>
      <c r="B1046">
        <v>4372</v>
      </c>
      <c r="C1046" s="3">
        <v>41155</v>
      </c>
      <c r="D1046">
        <v>41200</v>
      </c>
      <c r="E1046" t="s">
        <v>1596</v>
      </c>
      <c r="F1046" t="s">
        <v>1532</v>
      </c>
      <c r="G1046" t="s">
        <v>7635</v>
      </c>
      <c r="H1046" s="44" t="s">
        <v>9835</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9836</v>
      </c>
      <c r="I1069" s="44">
        <v>41204</v>
      </c>
      <c r="J1069" t="s">
        <v>7738</v>
      </c>
      <c r="K1069" t="s">
        <v>7739</v>
      </c>
      <c r="L1069" t="s">
        <v>7727</v>
      </c>
      <c r="M1069" t="s">
        <v>7740</v>
      </c>
      <c r="N1069" s="44" t="s">
        <v>9837</v>
      </c>
      <c r="O1069" s="44" t="s">
        <v>7002</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9838</v>
      </c>
      <c r="I1074" s="44">
        <v>41204</v>
      </c>
      <c r="J1074" t="s">
        <v>7756</v>
      </c>
      <c r="K1074" t="s">
        <v>7757</v>
      </c>
      <c r="L1074" t="s">
        <v>7727</v>
      </c>
      <c r="M1074" t="s">
        <v>7758</v>
      </c>
      <c r="N1074" s="44" t="s">
        <v>9839</v>
      </c>
      <c r="O1074" s="44" t="s">
        <v>6940</v>
      </c>
      <c r="P1074" s="44" t="s">
        <v>7416</v>
      </c>
      <c r="Q1074" s="44" t="s">
        <v>500</v>
      </c>
    </row>
    <row r="1075" spans="1:17" ht="18" customHeight="1" x14ac:dyDescent="0.25">
      <c r="A1075">
        <v>4329</v>
      </c>
      <c r="B1075">
        <v>4329</v>
      </c>
      <c r="C1075" s="3">
        <v>41155</v>
      </c>
      <c r="D1075">
        <v>41200</v>
      </c>
      <c r="E1075" t="s">
        <v>1596</v>
      </c>
      <c r="F1075" t="s">
        <v>1532</v>
      </c>
      <c r="G1075" t="s">
        <v>7724</v>
      </c>
      <c r="H1075" s="44" t="s">
        <v>9840</v>
      </c>
      <c r="I1075" s="44">
        <v>41204</v>
      </c>
      <c r="J1075" t="s">
        <v>7759</v>
      </c>
      <c r="K1075" t="s">
        <v>7760</v>
      </c>
      <c r="L1075" t="s">
        <v>7727</v>
      </c>
      <c r="M1075" t="s">
        <v>7761</v>
      </c>
      <c r="N1075" s="44" t="s">
        <v>9841</v>
      </c>
      <c r="O1075" s="44" t="s">
        <v>6940</v>
      </c>
      <c r="P1075" s="44" t="s">
        <v>7416</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1531</v>
      </c>
      <c r="F1079" t="s">
        <v>1532</v>
      </c>
      <c r="G1079" t="s">
        <v>7724</v>
      </c>
      <c r="H1079" s="44" t="s">
        <v>9842</v>
      </c>
      <c r="I1079" s="44">
        <v>41204</v>
      </c>
      <c r="J1079" t="s">
        <v>7775</v>
      </c>
      <c r="K1079" t="s">
        <v>7776</v>
      </c>
      <c r="L1079" t="s">
        <v>7727</v>
      </c>
      <c r="M1079" t="s">
        <v>7777</v>
      </c>
      <c r="N1079" s="44" t="s">
        <v>9843</v>
      </c>
      <c r="O1079" s="44" t="s">
        <v>6940</v>
      </c>
      <c r="P1079" s="44">
        <v>41211</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1596</v>
      </c>
      <c r="F1082" t="s">
        <v>1532</v>
      </c>
      <c r="G1082" t="s">
        <v>6103</v>
      </c>
      <c r="H1082" s="44" t="s">
        <v>500</v>
      </c>
      <c r="I1082" s="44">
        <v>41236</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1540</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1531</v>
      </c>
      <c r="F1286" t="s">
        <v>1773</v>
      </c>
      <c r="G1286" t="s">
        <v>8811</v>
      </c>
      <c r="H1286" s="44" t="s">
        <v>9794</v>
      </c>
      <c r="I1286" s="30">
        <v>41207</v>
      </c>
      <c r="J1286" t="s">
        <v>8819</v>
      </c>
      <c r="K1286" t="s">
        <v>8820</v>
      </c>
      <c r="L1286" t="s">
        <v>8814</v>
      </c>
      <c r="M1286" t="s">
        <v>8821</v>
      </c>
      <c r="N1286" s="44" t="s">
        <v>9795</v>
      </c>
      <c r="O1286" s="44" t="s">
        <v>4263</v>
      </c>
      <c r="P1286" s="44">
        <v>41208</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1596</v>
      </c>
      <c r="F1289" t="s">
        <v>1532</v>
      </c>
      <c r="G1289" t="s">
        <v>8768</v>
      </c>
      <c r="H1289" s="44" t="s">
        <v>500</v>
      </c>
      <c r="I1289" s="30">
        <v>41236</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1596</v>
      </c>
      <c r="F1309" t="s">
        <v>1532</v>
      </c>
      <c r="G1309" t="s">
        <v>7440</v>
      </c>
      <c r="H1309" s="44" t="s">
        <v>500</v>
      </c>
      <c r="I1309" s="30">
        <v>41236</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3453</v>
      </c>
      <c r="H1341" s="44" t="s">
        <v>500</v>
      </c>
      <c r="I1341">
        <v>41236</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1596</v>
      </c>
      <c r="F1358" t="s">
        <v>1532</v>
      </c>
      <c r="G1358" t="s">
        <v>9630</v>
      </c>
      <c r="H1358" s="44" t="s">
        <v>500</v>
      </c>
      <c r="I1358">
        <v>41236</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1596</v>
      </c>
      <c r="F1359" t="s">
        <v>1532</v>
      </c>
      <c r="G1359" t="s">
        <v>9635</v>
      </c>
      <c r="H1359" s="44" t="s">
        <v>500</v>
      </c>
      <c r="I1359">
        <v>41236</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9640</v>
      </c>
      <c r="H1360" s="44" t="s">
        <v>9814</v>
      </c>
      <c r="I1360">
        <v>41207</v>
      </c>
      <c r="J1360" t="s">
        <v>9641</v>
      </c>
      <c r="K1360" t="s">
        <v>9642</v>
      </c>
      <c r="L1360" t="s">
        <v>9643</v>
      </c>
      <c r="M1360" t="s">
        <v>9644</v>
      </c>
      <c r="N1360" s="44" t="s">
        <v>9815</v>
      </c>
      <c r="O1360" s="44" t="s">
        <v>5964</v>
      </c>
      <c r="P1360" s="44">
        <v>41208</v>
      </c>
      <c r="Q1360" s="44" t="s">
        <v>500</v>
      </c>
    </row>
    <row r="1361" spans="1:17" ht="18" customHeight="1" x14ac:dyDescent="0.25">
      <c r="A1361">
        <v>4643</v>
      </c>
      <c r="B1361">
        <v>4643</v>
      </c>
      <c r="C1361" s="3">
        <v>41201</v>
      </c>
      <c r="D1361">
        <v>41246</v>
      </c>
      <c r="E1361" t="s">
        <v>1596</v>
      </c>
      <c r="F1361" t="s">
        <v>1532</v>
      </c>
      <c r="G1361" t="s">
        <v>9645</v>
      </c>
      <c r="H1361" s="44" t="s">
        <v>500</v>
      </c>
      <c r="I1361">
        <v>41236</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9650</v>
      </c>
      <c r="H1362" s="44" t="s">
        <v>500</v>
      </c>
      <c r="I1362">
        <v>41236</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1596</v>
      </c>
      <c r="F1363" t="s">
        <v>1532</v>
      </c>
      <c r="G1363" t="s">
        <v>9655</v>
      </c>
      <c r="H1363" s="44" t="s">
        <v>500</v>
      </c>
      <c r="I1363">
        <v>41236</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1596</v>
      </c>
      <c r="F1364" t="s">
        <v>1532</v>
      </c>
      <c r="G1364" t="s">
        <v>9660</v>
      </c>
      <c r="H1364" s="44" t="s">
        <v>500</v>
      </c>
      <c r="I1364">
        <v>41236</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1596</v>
      </c>
      <c r="F1365" t="s">
        <v>1532</v>
      </c>
      <c r="G1365" t="s">
        <v>9665</v>
      </c>
      <c r="H1365" s="44" t="s">
        <v>500</v>
      </c>
      <c r="I1365">
        <v>41236</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9670</v>
      </c>
      <c r="H1366" s="44" t="s">
        <v>500</v>
      </c>
      <c r="I1366">
        <v>41236</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5" t="s">
        <v>4734</v>
      </c>
      <c r="C2" s="276"/>
      <c r="D2" s="276"/>
      <c r="E2" s="276"/>
      <c r="F2" s="276"/>
      <c r="G2" s="277"/>
      <c r="H2" s="278"/>
    </row>
    <row r="3" spans="2:8" ht="15.75" thickBot="1" x14ac:dyDescent="0.3"/>
    <row r="4" spans="2:8" ht="15.75" thickBot="1" x14ac:dyDescent="0.3">
      <c r="C4" s="279" t="s">
        <v>4735</v>
      </c>
      <c r="D4" s="280"/>
      <c r="E4" s="281" t="s">
        <v>4736</v>
      </c>
      <c r="F4" s="282"/>
      <c r="G4" s="281" t="s">
        <v>5705</v>
      </c>
      <c r="H4" s="282"/>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2012-11-05T20:02:32Z</dcterms:modified>
</cp:coreProperties>
</file>