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617" i="12"/>
  <c r="C618"/>
  <c r="C619"/>
  <c r="C620"/>
  <c r="C621"/>
  <c r="C622"/>
  <c r="C623"/>
  <c r="C624"/>
  <c r="C625"/>
  <c r="C626"/>
  <c r="C627"/>
  <c r="C628"/>
  <c r="C629"/>
  <c r="B630"/>
  <c r="C630"/>
  <c r="B631"/>
  <c r="C631"/>
  <c r="B632"/>
  <c r="C632"/>
  <c r="B633"/>
  <c r="C633"/>
  <c r="B634"/>
  <c r="C634"/>
  <c r="B635"/>
  <c r="C635"/>
  <c r="B636"/>
  <c r="C636"/>
  <c r="B637"/>
  <c r="C637"/>
  <c r="B638"/>
  <c r="C638"/>
  <c r="B639"/>
  <c r="C639"/>
  <c r="B640"/>
  <c r="C640"/>
  <c r="B641"/>
  <c r="C641"/>
  <c r="B642"/>
  <c r="C642"/>
  <c r="B643"/>
  <c r="C643"/>
  <c r="B644"/>
  <c r="C644"/>
  <c r="D630"/>
  <c r="E630"/>
  <c r="F630"/>
  <c r="H630"/>
  <c r="D631"/>
  <c r="E631"/>
  <c r="F631"/>
  <c r="H631"/>
  <c r="D632"/>
  <c r="E632"/>
  <c r="F632"/>
  <c r="H632"/>
  <c r="D633"/>
  <c r="E633"/>
  <c r="F633"/>
  <c r="H633"/>
  <c r="D634"/>
  <c r="E634"/>
  <c r="F634"/>
  <c r="H634"/>
  <c r="D635"/>
  <c r="E635"/>
  <c r="F635"/>
  <c r="H635"/>
  <c r="D636"/>
  <c r="E636"/>
  <c r="F636"/>
  <c r="H636"/>
  <c r="D637"/>
  <c r="E637"/>
  <c r="F637"/>
  <c r="H637"/>
  <c r="D638"/>
  <c r="E638"/>
  <c r="F638"/>
  <c r="H638"/>
  <c r="D639"/>
  <c r="E639"/>
  <c r="F639"/>
  <c r="H639"/>
  <c r="D640"/>
  <c r="E640"/>
  <c r="F640"/>
  <c r="H640"/>
  <c r="D641"/>
  <c r="E641"/>
  <c r="F641"/>
  <c r="H641"/>
  <c r="D642"/>
  <c r="E642"/>
  <c r="F642"/>
  <c r="H642"/>
  <c r="D643"/>
  <c r="E643"/>
  <c r="F643"/>
  <c r="H643"/>
  <c r="D644"/>
  <c r="E644"/>
  <c r="F644"/>
  <c r="H644"/>
  <c r="AG2081" i="1" l="1"/>
  <c r="AG2084"/>
  <c r="AG2085"/>
  <c r="AG2086"/>
  <c r="AG2088"/>
  <c r="AG2089"/>
  <c r="AG2097"/>
  <c r="E255" i="2"/>
  <c r="D255"/>
  <c r="C255"/>
  <c r="E254"/>
  <c r="D254"/>
  <c r="C254"/>
  <c r="E253"/>
  <c r="D253"/>
  <c r="C253"/>
  <c r="K249"/>
  <c r="I249"/>
  <c r="G249"/>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B619" i="12" l="1"/>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G1547" s="1"/>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B618" i="12" l="1"/>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H601" i="12" l="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604" i="12" l="1"/>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620" i="12" l="1"/>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615" i="12" l="1"/>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B589" i="12" l="1"/>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B623" i="12" l="1"/>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127" i="12" l="1"/>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<sst xmlns="http://schemas.openxmlformats.org/spreadsheetml/2006/main" count="73099" uniqueCount="22848">
  <si>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</si>
  <si>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</si>
  <si>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</si>
  <si>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</si>
  <si>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</si>
  <si>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</si>
  <si>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</si>
  <si>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</si>
  <si>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</si>
  <si>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</si>
  <si>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</si>
  <si>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</si>
  <si>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</si>
  <si>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</si>
  <si>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</si>
  <si>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</si>
  <si>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</si>
  <si>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</si>
  <si>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</si>
  <si>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</si>
  <si>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</si>
  <si>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</si>
  <si>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</si>
  <si>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</si>
  <si>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</si>
  <si>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</si>
  <si>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</si>
  <si>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</si>
  <si>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</si>
  <si>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</si>
  <si>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</si>
  <si>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</si>
  <si>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</si>
  <si>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</si>
  <si>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</si>
  <si>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</si>
  <si>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</si>
  <si>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</si>
  <si>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</si>
  <si>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</si>
  <si>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</si>
  <si>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</si>
  <si>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</si>
  <si>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</si>
  <si>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</si>
  <si>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</si>
  <si>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</si>
  <si>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</si>
  <si>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</si>
  <si>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</si>
  <si>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</si>
  <si>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</si>
  <si>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</si>
  <si>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</si>
  <si>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</si>
  <si>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</si>
  <si>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</si>
  <si>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</si>
  <si>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</si>
  <si>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</si>
  <si>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</si>
  <si>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</si>
  <si>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</si>
  <si>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</si>
  <si>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</si>
  <si>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</si>
  <si>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</si>
  <si>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</si>
  <si>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</si>
  <si>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</si>
  <si>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</si>
  <si>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</si>
  <si>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</si>
  <si>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</si>
  <si>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</si>
  <si>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</si>
  <si>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</si>
  <si>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</si>
  <si>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</si>
  <si>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</si>
  <si>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</si>
  <si>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</si>
  <si>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</si>
  <si>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</si>
  <si>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</si>
  <si>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</si>
  <si>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</si>
  <si>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</si>
  <si>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</si>
  <si>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</si>
  <si>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</si>
  <si>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</si>
  <si>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</si>
  <si>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</si>
  <si>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</si>
  <si>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</si>
  <si>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</si>
  <si>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</si>
  <si>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</si>
  <si>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</si>
  <si>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</si>
  <si>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</si>
  <si>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</si>
  <si>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</si>
  <si>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</si>
  <si>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</si>
  <si>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</si>
  <si>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</si>
  <si>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</si>
  <si>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</si>
  <si>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</si>
  <si>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</si>
  <si>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</si>
  <si>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</si>
  <si>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</si>
  <si>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</si>
  <si>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</si>
  <si>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</si>
  <si>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</si>
  <si>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</si>
  <si>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</si>
  <si>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</si>
  <si>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</si>
  <si>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</si>
  <si>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</si>
  <si>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</si>
  <si>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</si>
  <si>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</si>
  <si>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</si>
  <si>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</si>
  <si>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</si>
  <si>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</si>
  <si>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</si>
  <si>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</si>
  <si>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</si>
  <si>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</si>
  <si>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</si>
  <si>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</si>
  <si>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</si>
  <si>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</si>
  <si>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</si>
  <si>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</si>
  <si>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</si>
  <si>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</si>
  <si>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</si>
  <si>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</si>
  <si>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</si>
  <si>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</si>
  <si>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</si>
  <si>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</si>
  <si>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</si>
  <si>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</si>
  <si>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</si>
  <si>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</si>
  <si>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</si>
  <si>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</si>
  <si>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</si>
  <si>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</si>
  <si>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</si>
  <si>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</si>
  <si>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</si>
  <si>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</si>
  <si>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</si>
  <si>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</si>
  <si>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</si>
  <si>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</si>
  <si>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</si>
  <si>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</si>
  <si>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</si>
  <si>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</si>
  <si>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</si>
  <si>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</si>
  <si>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</si>
  <si>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</si>
  <si>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</si>
  <si>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</si>
  <si>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</si>
  <si>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</si>
  <si>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</si>
  <si>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</si>
  <si>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</si>
  <si>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</si>
  <si>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</si>
  <si>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</si>
  <si>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</si>
  <si>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</si>
  <si>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</si>
  <si>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</si>
  <si>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</si>
  <si>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</si>
  <si>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</si>
  <si>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</si>
  <si>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</si>
  <si>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</si>
  <si>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</si>
  <si>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</si>
  <si>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</si>
  <si>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</si>
  <si>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</si>
  <si>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</si>
  <si>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</si>
  <si>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</si>
  <si>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</si>
  <si>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</si>
  <si>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</si>
  <si>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</si>
  <si>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</si>
  <si>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</si>
  <si>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</si>
  <si>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</si>
  <si>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</si>
  <si>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</si>
  <si>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</si>
  <si>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</si>
  <si>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</si>
  <si>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</si>
  <si>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</si>
  <si>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</si>
  <si>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</si>
  <si>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</si>
  <si>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</si>
  <si>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</si>
  <si>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</si>
  <si>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</si>
  <si>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</si>
  <si>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</si>
  <si>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</si>
  <si>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</si>
  <si>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</si>
  <si>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</si>
  <si>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</si>
  <si>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</si>
  <si>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</si>
  <si>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</si>
  <si>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</si>
  <si>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</si>
  <si>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</si>
  <si>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</si>
  <si>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</si>
  <si>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</si>
  <si>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</si>
  <si>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</si>
  <si>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</si>
  <si>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</si>
  <si>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</si>
  <si>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</si>
  <si>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</si>
  <si>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</si>
  <si>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</si>
  <si>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</si>
  <si>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</si>
  <si>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</si>
  <si>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</si>
  <si>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</si>
  <si>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</si>
  <si>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</si>
  <si>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</si>
  <si>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</si>
  <si>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</si>
  <si>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</si>
  <si>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</si>
  <si>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</si>
  <si>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</si>
  <si>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</si>
  <si>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</si>
  <si>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</si>
  <si>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</si>
  <si>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</si>
  <si>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</si>
  <si>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</si>
  <si>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</si>
  <si>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</si>
  <si>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</si>
  <si>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</si>
  <si>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</si>
  <si>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</si>
  <si>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</si>
  <si>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</si>
  <si>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</si>
  <si>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</si>
  <si>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</si>
  <si>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</si>
  <si>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</si>
  <si>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</si>
  <si>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</si>
  <si>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</si>
  <si>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</si>
  <si>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</si>
  <si>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</si>
  <si>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</si>
  <si>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</si>
  <si>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</si>
  <si>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</si>
  <si>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</si>
  <si>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</si>
  <si>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</si>
  <si>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</si>
  <si>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</si>
  <si>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</si>
  <si>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</si>
  <si>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</si>
  <si>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</si>
  <si>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</si>
  <si>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</si>
  <si>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</si>
  <si>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</si>
  <si>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</si>
  <si>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</si>
  <si>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</si>
  <si>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</si>
  <si>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</si>
  <si>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</si>
  <si>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</si>
  <si>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</si>
  <si>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</si>
  <si>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</si>
  <si>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</si>
  <si>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</si>
  <si>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</si>
  <si>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</si>
  <si>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</si>
  <si>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</si>
  <si>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</si>
  <si>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</si>
  <si>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</si>
  <si>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</si>
  <si>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</si>
  <si>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</si>
  <si>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</si>
  <si>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</si>
  <si>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</si>
  <si>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</si>
  <si>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</si>
  <si>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</si>
  <si>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</si>
  <si>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</si>
  <si>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</si>
  <si>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</si>
  <si>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</si>
  <si>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</si>
  <si>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</si>
  <si>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</si>
  <si>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</si>
  <si>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</si>
  <si>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</si>
  <si>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</si>
  <si>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</si>
  <si>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</si>
  <si>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</si>
  <si>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</si>
  <si>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</si>
  <si>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</si>
  <si>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</si>
  <si>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</si>
  <si>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</si>
  <si>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</si>
  <si>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</si>
  <si>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</si>
  <si>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</si>
  <si>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</si>
  <si>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</si>
  <si>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</si>
  <si>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</si>
  <si>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</si>
  <si>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</si>
  <si>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</si>
  <si>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</si>
  <si>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</si>
  <si>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</si>
  <si>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</si>
  <si>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</si>
  <si>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</si>
  <si>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</si>
  <si>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</si>
  <si>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</si>
  <si>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</si>
  <si>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</si>
  <si>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</si>
  <si>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</si>
  <si>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</si>
  <si>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</si>
  <si>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</si>
  <si>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</si>
  <si>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</si>
  <si>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</si>
  <si>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</si>
  <si>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</si>
  <si>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</si>
  <si>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</si>
  <si>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</si>
  <si>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</si>
  <si>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</si>
  <si>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</si>
  <si>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</si>
  <si>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</si>
  <si>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</si>
  <si>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</si>
  <si>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</si>
  <si>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</si>
  <si>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</si>
  <si>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</si>
  <si>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</si>
  <si>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</si>
  <si>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</si>
  <si>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</si>
  <si>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</si>
  <si>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</si>
  <si>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</si>
  <si>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</si>
  <si>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</si>
  <si>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</si>
  <si>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</si>
  <si>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</si>
  <si>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</si>
  <si>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</si>
  <si>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</si>
  <si>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</si>
  <si>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</si>
  <si>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</si>
  <si>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</si>
  <si>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</si>
  <si>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</si>
  <si>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</si>
  <si>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</si>
  <si>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</si>
  <si>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</si>
  <si>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</si>
  <si>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</si>
  <si>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</si>
  <si>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</si>
  <si>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</si>
  <si>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</si>
  <si>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</si>
  <si>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</si>
  <si>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</si>
  <si>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</si>
  <si>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</si>
  <si>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</si>
  <si>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</si>
  <si>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</si>
  <si>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</si>
  <si>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</si>
  <si>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</si>
  <si>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</si>
  <si>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</si>
  <si>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</si>
  <si>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</si>
  <si>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</si>
  <si>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</si>
  <si>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</si>
  <si>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</si>
  <si>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</si>
  <si>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</si>
  <si>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</si>
  <si>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</si>
  <si>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</si>
  <si>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</si>
  <si>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</si>
  <si>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</si>
  <si>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</si>
  <si>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</si>
  <si>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</si>
  <si>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</si>
  <si>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</si>
  <si>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</si>
  <si>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</si>
  <si>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</si>
  <si>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</si>
  <si>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</si>
  <si>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</si>
  <si>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</si>
  <si>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</si>
  <si>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</si>
  <si>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</si>
  <si>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</si>
  <si>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</si>
  <si>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</si>
  <si>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</si>
  <si>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</si>
  <si>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</si>
  <si>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</si>
  <si>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</si>
  <si>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</si>
  <si>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</si>
  <si>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</si>
  <si>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</si>
  <si>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</si>
  <si>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</si>
  <si>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</si>
  <si>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</si>
  <si>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</si>
  <si>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</si>
  <si>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</si>
  <si>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</si>
  <si>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</si>
  <si>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</si>
  <si>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</si>
  <si>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</si>
  <si>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</si>
  <si>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</si>
  <si>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</si>
  <si>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</si>
  <si>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</si>
  <si>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</si>
  <si>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</si>
  <si>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</si>
  <si>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</si>
  <si>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</si>
  <si>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</si>
  <si>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</si>
  <si>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</si>
  <si>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</si>
  <si>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</si>
  <si>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</si>
  <si>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</si>
  <si>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</si>
  <si>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</si>
  <si>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</si>
  <si>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</si>
  <si>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</si>
  <si>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</si>
  <si>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</si>
  <si>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</si>
  <si>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</si>
  <si>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</si>
  <si>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</si>
  <si>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</si>
  <si>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</si>
  <si>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</si>
  <si>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</si>
  <si>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</si>
  <si>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</si>
  <si>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</si>
  <si>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</si>
  <si>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</si>
  <si>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</si>
  <si>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</si>
  <si>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</si>
  <si>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</si>
  <si>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</si>
  <si>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</si>
  <si>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</si>
  <si>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</si>
  <si>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</si>
  <si>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</si>
  <si>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</si>
  <si>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</si>
  <si>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</si>
  <si>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</si>
  <si>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</si>
  <si>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</si>
  <si>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</si>
  <si>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</si>
  <si>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</si>
  <si>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</si>
  <si>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</si>
  <si>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</si>
  <si>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</si>
  <si>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</si>
  <si>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</si>
  <si>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</si>
  <si>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</si>
  <si>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</si>
  <si>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</si>
  <si>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</si>
  <si>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</si>
  <si>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</si>
  <si>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</si>
  <si>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</si>
  <si>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</si>
  <si>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</si>
  <si>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</si>
  <si>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</si>
  <si>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</si>
  <si>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</si>
  <si>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</si>
  <si>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</si>
  <si>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</si>
  <si>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</si>
  <si>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</si>
  <si>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</si>
  <si>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</si>
  <si>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</si>
  <si>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</si>
  <si>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</si>
  <si>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</si>
  <si>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</si>
  <si>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</si>
  <si>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</si>
  <si>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</si>
  <si>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</si>
  <si>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</si>
  <si>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</si>
  <si>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</si>
  <si>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</si>
  <si>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</si>
  <si>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</si>
  <si>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</si>
  <si>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</si>
  <si>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</si>
  <si>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</si>
  <si>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</si>
  <si>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</si>
  <si>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</si>
  <si>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</si>
  <si>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</si>
  <si>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</si>
  <si>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</si>
  <si>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</si>
  <si>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</si>
  <si>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</si>
  <si>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</si>
  <si>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</si>
  <si>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</si>
  <si>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</si>
  <si>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</si>
  <si>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</si>
  <si>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</si>
  <si>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</si>
  <si>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</si>
  <si>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</si>
  <si>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</si>
  <si>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</si>
  <si>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</si>
  <si>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</si>
  <si>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</si>
  <si>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</si>
  <si>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</si>
  <si>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</si>
  <si>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</si>
  <si>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</si>
  <si>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</si>
  <si>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</si>
  <si>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</si>
  <si>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</si>
  <si>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</si>
  <si>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</si>
  <si>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</si>
  <si>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</si>
  <si>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</si>
  <si>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</si>
  <si>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</si>
  <si>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</si>
  <si>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</si>
  <si>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</si>
  <si>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</si>
  <si>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</si>
  <si>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</si>
  <si>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</si>
  <si>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</si>
  <si>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</si>
  <si>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</si>
  <si>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</si>
  <si>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</si>
  <si>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</si>
  <si>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</si>
  <si>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</si>
  <si>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</si>
  <si>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</si>
  <si>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</si>
  <si>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</si>
  <si>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</si>
  <si>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</si>
  <si>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</si>
  <si>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</si>
  <si>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</si>
  <si>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</si>
  <si>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</si>
  <si>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</si>
  <si>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</si>
  <si>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</si>
  <si>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</si>
  <si>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</si>
  <si>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</si>
  <si>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</si>
  <si>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</si>
  <si>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</si>
  <si>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</si>
  <si>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</si>
  <si>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</si>
  <si>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</si>
  <si>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</si>
  <si>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</si>
  <si>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</si>
  <si>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</si>
  <si>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</si>
  <si>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</si>
  <si>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</si>
  <si>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</si>
  <si>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</si>
  <si>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</si>
  <si>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</si>
  <si>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</si>
  <si>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</si>
  <si>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</si>
  <si>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</si>
  <si>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</si>
  <si>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</si>
  <si>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</si>
  <si>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</si>
  <si>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</si>
  <si>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</si>
  <si>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</si>
  <si>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</si>
  <si>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</si>
  <si>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</si>
  <si>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</si>
  <si>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</si>
  <si>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</si>
  <si>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</si>
  <si>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</si>
  <si>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</si>
  <si>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</si>
  <si>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</si>
  <si>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</si>
  <si>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</si>
  <si>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</si>
  <si>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</si>
  <si>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</si>
  <si>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</si>
  <si>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</si>
  <si>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</si>
  <si>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</si>
  <si>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</si>
  <si>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</si>
  <si>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</si>
  <si>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</si>
  <si>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</si>
  <si>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</si>
  <si>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</si>
  <si>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</si>
  <si>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</si>
  <si>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</si>
  <si>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</si>
  <si>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</si>
  <si>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</si>
  <si>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</si>
  <si>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</si>
  <si>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</si>
  <si>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</si>
  <si>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</si>
  <si>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</si>
  <si>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</si>
  <si>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</si>
  <si>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</si>
  <si>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</si>
  <si>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</si>
  <si>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</si>
  <si>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</si>
  <si>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</si>
  <si>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</si>
  <si>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</si>
  <si>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</si>
  <si>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</si>
  <si>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</si>
  <si>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</si>
  <si>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</si>
  <si>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</si>
  <si>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</si>
  <si>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</si>
  <si>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</si>
  <si>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</si>
  <si>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</si>
  <si>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</si>
  <si>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</si>
  <si>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</si>
  <si>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</si>
  <si>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</si>
  <si>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</si>
  <si>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</si>
  <si>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</si>
  <si>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</si>
  <si>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</si>
  <si>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</si>
  <si>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</si>
  <si>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</si>
  <si>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</si>
  <si>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</si>
  <si>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</si>
  <si>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</si>
  <si>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</si>
  <si>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</si>
  <si>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</si>
  <si>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</si>
  <si>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</si>
  <si>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</si>
  <si>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</si>
  <si>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</si>
  <si>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</si>
  <si>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</si>
  <si>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</si>
  <si>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</si>
  <si>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</si>
  <si>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</si>
  <si>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</si>
  <si>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</si>
  <si>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</si>
  <si>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</si>
  <si>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</si>
  <si>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</si>
  <si>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</si>
  <si>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</si>
  <si>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</si>
  <si>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</si>
  <si>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</si>
  <si>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</si>
  <si>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</si>
  <si>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</si>
  <si>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</si>
  <si>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</si>
  <si>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</si>
  <si>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</si>
  <si>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</si>
  <si>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</si>
  <si>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</si>
  <si>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</si>
  <si>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</si>
  <si>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</si>
  <si>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</si>
  <si>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</si>
  <si>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</si>
  <si>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</si>
  <si>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</si>
  <si>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</si>
  <si>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</si>
  <si>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</si>
  <si>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</si>
  <si>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</si>
  <si>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</si>
  <si>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</si>
  <si>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</si>
  <si>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</si>
  <si>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</si>
  <si>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</si>
  <si>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</si>
  <si>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</si>
  <si>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</si>
  <si>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</si>
  <si>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</si>
  <si>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</si>
  <si>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</si>
  <si>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</si>
  <si>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</si>
  <si>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</si>
  <si>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</si>
  <si>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</si>
  <si>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</si>
  <si>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</si>
  <si>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</si>
  <si>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</si>
  <si>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</si>
  <si>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</si>
  <si>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</si>
  <si>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</si>
  <si>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</si>
  <si>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</si>
  <si>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</si>
  <si>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</si>
  <si>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</si>
  <si>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</si>
  <si>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</si>
  <si>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</si>
  <si>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</si>
  <si>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</si>
  <si>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</si>
  <si>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</si>
  <si>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</si>
  <si>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</si>
  <si>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</si>
  <si>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</si>
  <si>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</si>
  <si>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</si>
  <si>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</si>
  <si>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</si>
  <si>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</si>
  <si>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</si>
  <si>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</si>
  <si>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</si>
  <si>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</si>
  <si>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</si>
  <si>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</si>
  <si>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</si>
  <si>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</si>
  <si>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</si>
  <si>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</si>
  <si>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</si>
  <si>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</si>
  <si>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</si>
  <si>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</si>
  <si>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</si>
  <si>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</si>
  <si>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</si>
  <si>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</si>
  <si>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</si>
  <si>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</si>
  <si>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</si>
  <si>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</si>
  <si>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</si>
  <si>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</si>
  <si>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</si>
  <si>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</si>
  <si>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</si>
  <si>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</si>
  <si>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</si>
  <si>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</si>
  <si>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</si>
  <si>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</si>
  <si>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</si>
  <si>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</si>
  <si>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</si>
  <si>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</si>
  <si>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</si>
  <si>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</si>
  <si>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</si>
  <si>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</si>
  <si>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</si>
  <si>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</si>
  <si>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</si>
  <si>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</si>
  <si>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</si>
  <si>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</si>
  <si>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</si>
  <si>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</si>
  <si>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</si>
  <si>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</si>
  <si>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</si>
  <si>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</si>
  <si>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</si>
  <si>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</si>
  <si>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</si>
  <si>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</si>
  <si>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</si>
  <si>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</si>
  <si>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</si>
  <si>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</si>
  <si>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</si>
  <si>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</si>
  <si>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</si>
  <si>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</si>
  <si>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</si>
  <si>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</si>
  <si>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</si>
  <si>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</si>
  <si>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</si>
  <si>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</si>
  <si>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</si>
  <si>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</si>
  <si>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</si>
  <si>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</si>
  <si>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</si>
  <si>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</si>
  <si>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</si>
  <si>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</si>
  <si>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</si>
  <si>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</si>
  <si>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</si>
  <si>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</si>
  <si>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</si>
  <si>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</si>
  <si>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</si>
  <si>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</si>
  <si>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</si>
  <si>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</si>
  <si>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</si>
  <si>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</si>
  <si>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</si>
  <si>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</si>
  <si>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</si>
  <si>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</si>
  <si>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</si>
  <si>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</si>
  <si>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</si>
  <si>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</si>
  <si>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</si>
  <si>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</si>
  <si>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</si>
  <si>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</si>
  <si>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</si>
  <si>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</si>
  <si>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</si>
  <si>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</si>
  <si>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</si>
  <si>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</si>
  <si>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</si>
  <si>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</si>
  <si>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</si>
  <si>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</si>
  <si>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</si>
  <si>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</si>
  <si>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</si>
  <si>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</si>
  <si>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</si>
  <si>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</si>
  <si>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</si>
  <si>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</si>
  <si>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</si>
  <si>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</si>
  <si>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</si>
  <si>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</si>
  <si>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</si>
  <si>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</si>
  <si>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</si>
  <si>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</si>
  <si>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</si>
  <si>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</si>
  <si>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</si>
  <si>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</si>
  <si>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</si>
  <si>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</si>
  <si>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</si>
  <si>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</si>
  <si>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</si>
  <si>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</si>
  <si>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</si>
  <si>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</si>
  <si>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</si>
  <si>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</si>
  <si>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</si>
  <si>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</si>
  <si>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</si>
  <si>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</si>
  <si>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</si>
  <si>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</si>
  <si>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</si>
  <si>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</si>
  <si>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</si>
  <si>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</si>
  <si>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</si>
  <si>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</si>
  <si>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</si>
  <si>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</si>
  <si>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</si>
  <si>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</si>
  <si>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</si>
  <si>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</si>
  <si>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</si>
  <si>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</si>
  <si>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</si>
  <si>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</si>
  <si>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</si>
  <si>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</si>
  <si>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</si>
  <si>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</si>
  <si>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</si>
  <si>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</si>
  <si>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</si>
  <si>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</si>
  <si>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</si>
  <si>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</si>
  <si>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</si>
  <si>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</si>
  <si>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</si>
  <si>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</si>
  <si>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</si>
  <si>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</si>
  <si>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</si>
  <si>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</si>
  <si>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</si>
  <si>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</si>
  <si>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</si>
  <si>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</si>
  <si>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</si>
  <si>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</si>
  <si>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</si>
  <si>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</si>
  <si>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</si>
  <si>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</si>
  <si>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</si>
  <si>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</si>
  <si>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</si>
  <si>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</si>
  <si>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</si>
  <si>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</si>
  <si>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</si>
  <si>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</si>
  <si>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</si>
  <si>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</si>
  <si>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</si>
  <si>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</si>
  <si>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</si>
  <si>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</si>
  <si>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</si>
  <si>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</si>
  <si>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</si>
  <si>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</si>
  <si>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</si>
  <si>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</si>
  <si>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</si>
  <si>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</si>
  <si>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</si>
  <si>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</si>
  <si>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</si>
  <si>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</si>
  <si>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</si>
  <si>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</si>
  <si>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</si>
  <si>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</si>
  <si>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</si>
  <si>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</si>
  <si>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</si>
  <si>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</si>
  <si>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</si>
  <si>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</si>
  <si>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</si>
  <si>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</si>
  <si>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</si>
  <si>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</si>
  <si>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</si>
  <si>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</si>
  <si>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</si>
  <si>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</si>
  <si>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</si>
  <si>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</si>
  <si>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</si>
  <si>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</si>
  <si>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</si>
  <si>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</si>
  <si>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</si>
  <si>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</si>
  <si>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</si>
  <si>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</si>
  <si>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</si>
  <si>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</si>
  <si>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</si>
  <si>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</si>
  <si>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</si>
  <si>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</si>
  <si>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</si>
  <si>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</si>
  <si>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</si>
  <si>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</si>
  <si>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</si>
  <si>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</si>
  <si>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</si>
  <si>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</si>
  <si>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</si>
  <si>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</si>
  <si>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</si>
  <si>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</si>
  <si>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</si>
  <si>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</si>
  <si>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</si>
  <si>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</si>
  <si>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</si>
  <si>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</si>
  <si>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</si>
  <si>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</si>
  <si>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</si>
  <si>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</si>
  <si>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</si>
  <si>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</si>
  <si>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</si>
  <si>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</si>
  <si>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</si>
  <si>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</si>
  <si>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</si>
  <si>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</si>
  <si>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</si>
  <si>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</si>
  <si>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</si>
  <si>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</si>
  <si>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</si>
  <si>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</si>
  <si>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</si>
  <si>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</si>
  <si>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</si>
  <si>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</si>
  <si>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</si>
  <si>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</si>
  <si>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</si>
  <si>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</si>
  <si>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</si>
  <si>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</si>
  <si>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</si>
  <si>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</si>
  <si>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</si>
  <si>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</si>
  <si>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</si>
  <si>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</si>
  <si>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</si>
  <si>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</si>
  <si>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</si>
  <si>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</si>
  <si>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</si>
  <si>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</si>
  <si>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</si>
  <si>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</si>
  <si>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</si>
  <si>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</si>
  <si>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</si>
  <si>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</si>
  <si>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</si>
  <si>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</si>
  <si>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</si>
  <si>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</si>
  <si>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</si>
  <si>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</si>
  <si>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</si>
  <si>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</si>
  <si>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</si>
  <si>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</si>
  <si>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</si>
  <si>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</si>
  <si>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</si>
  <si>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</si>
  <si>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</si>
  <si>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</si>
  <si>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</si>
  <si>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</si>
  <si>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</si>
  <si>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</si>
  <si>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</si>
  <si>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</si>
  <si>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</si>
  <si>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</si>
  <si>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</si>
  <si>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</si>
  <si>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</si>
  <si>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</si>
  <si>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</si>
  <si>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</si>
  <si>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</si>
  <si>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</si>
  <si>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</si>
  <si>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</si>
  <si>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</si>
  <si>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</si>
  <si>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</si>
  <si>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</si>
  <si>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</si>
  <si>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</si>
  <si>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</si>
  <si>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</si>
  <si>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</si>
  <si>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</si>
  <si>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</si>
  <si>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</si>
  <si>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</si>
  <si>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</si>
  <si>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</si>
  <si>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</si>
  <si>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</si>
  <si>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</si>
  <si>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</si>
  <si>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</si>
  <si>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</si>
  <si>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</si>
  <si>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</si>
  <si>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</si>
  <si>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</si>
  <si>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</si>
  <si>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</si>
  <si>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</si>
  <si>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</si>
  <si>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</si>
  <si>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</si>
  <si>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</si>
  <si>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</si>
  <si>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</si>
  <si>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</si>
  <si>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</si>
  <si>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</si>
  <si>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</si>
  <si>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</si>
  <si>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</si>
  <si>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</si>
  <si>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</si>
  <si>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</si>
  <si>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</si>
  <si>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</si>
  <si>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</si>
  <si>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</si>
  <si>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</si>
  <si>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</si>
  <si>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</si>
  <si>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</si>
  <si>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</si>
  <si>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</si>
  <si>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</si>
  <si>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</si>
  <si>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</si>
  <si>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</si>
  <si>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</si>
  <si>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</si>
  <si>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</si>
  <si>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</si>
  <si>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</si>
  <si>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</si>
  <si>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</si>
  <si>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</si>
  <si>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</si>
  <si>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</si>
  <si>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</si>
  <si>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</si>
  <si>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</si>
  <si>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</si>
  <si>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</si>
  <si>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</si>
  <si>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</si>
  <si>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</si>
  <si>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</si>
  <si>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</si>
  <si>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</si>
  <si>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</si>
  <si>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</si>
  <si>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</si>
  <si>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</si>
  <si>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</si>
  <si>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</si>
  <si>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</si>
  <si>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</si>
  <si>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</si>
  <si>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</si>
  <si>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</si>
  <si>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</si>
  <si>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</si>
  <si>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</si>
  <si>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</si>
  <si>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</si>
  <si>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</si>
  <si>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</si>
  <si>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</si>
  <si>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</si>
  <si>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</si>
  <si>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</si>
  <si>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</si>
  <si>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</si>
  <si>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</si>
  <si>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</si>
  <si>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</si>
  <si>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</si>
  <si>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</si>
  <si>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</si>
  <si>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</si>
  <si>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</si>
  <si>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</si>
  <si>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</si>
  <si>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</si>
  <si>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</si>
  <si>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</si>
  <si>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</si>
  <si>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</si>
  <si>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</si>
  <si>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</si>
  <si>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</si>
  <si>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</si>
  <si>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</si>
  <si>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</si>
  <si>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</si>
  <si>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</si>
  <si>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</si>
  <si>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</si>
  <si>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</si>
  <si>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</si>
  <si>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</si>
  <si>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</si>
  <si>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</si>
  <si>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</si>
  <si>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</si>
  <si>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</si>
  <si>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</si>
  <si>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</si>
  <si>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</si>
  <si>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</si>
  <si>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</si>
  <si>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</si>
  <si>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</si>
  <si>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</si>
  <si>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</si>
  <si>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</si>
  <si>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</si>
  <si>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</si>
  <si>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</si>
  <si>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</si>
  <si>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</si>
  <si>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</si>
  <si>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</si>
  <si>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</si>
  <si>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</si>
  <si>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</si>
  <si>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</si>
  <si>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</si>
  <si>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</si>
  <si>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</si>
  <si>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</si>
  <si>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</si>
  <si>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</si>
  <si>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</si>
  <si>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</si>
  <si>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</si>
  <si>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</si>
  <si>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</si>
  <si>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</si>
  <si>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</si>
  <si>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</si>
  <si>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</si>
  <si>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</si>
  <si>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</si>
  <si>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</si>
  <si>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</si>
  <si>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</si>
  <si>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</si>
  <si>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</si>
  <si>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</si>
  <si>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</si>
  <si>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</si>
  <si>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</si>
  <si>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</si>
  <si>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</si>
  <si>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</si>
  <si>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</si>
  <si>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</si>
  <si>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</si>
  <si>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</si>
  <si>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</si>
  <si>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</si>
  <si>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</si>
  <si>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</si>
  <si>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</si>
  <si>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</si>
  <si>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</si>
  <si>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</si>
  <si>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</si>
  <si>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</si>
  <si>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</si>
  <si>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</si>
  <si>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</si>
  <si>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</si>
  <si>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</si>
  <si>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</si>
  <si>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</si>
  <si>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</si>
  <si>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</si>
  <si>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</si>
  <si>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</si>
  <si>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</si>
  <si>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</si>
  <si>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</si>
  <si>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</si>
  <si>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</si>
  <si>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</si>
  <si>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</si>
  <si>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</si>
  <si>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</si>
  <si>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</si>
  <si>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</si>
  <si>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</si>
  <si>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</si>
  <si>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</si>
  <si>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</si>
  <si>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</si>
  <si>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</si>
  <si>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</si>
  <si>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</si>
  <si>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</si>
  <si>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</si>
  <si>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</si>
  <si>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</si>
  <si>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</si>
  <si>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</si>
  <si>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</si>
  <si>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</si>
  <si>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</si>
  <si>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</si>
  <si>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</si>
  <si>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</si>
  <si>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</si>
  <si>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</si>
  <si>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</si>
  <si>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</si>
  <si>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</si>
  <si>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</si>
  <si>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</si>
  <si>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</si>
  <si>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</si>
  <si>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</si>
  <si>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</si>
  <si>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</si>
  <si>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</si>
  <si>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</si>
  <si>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</si>
  <si>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</si>
  <si>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</si>
  <si>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</si>
  <si>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</si>
  <si>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</si>
  <si>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</si>
  <si>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</si>
  <si>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</si>
  <si>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</si>
  <si>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</si>
  <si>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</si>
  <si>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</si>
  <si>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</si>
  <si>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</si>
  <si>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</si>
  <si>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</si>
  <si>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</si>
  <si>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</si>
  <si>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</si>
  <si>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</si>
  <si>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</si>
  <si>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</si>
  <si>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</si>
  <si>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</si>
  <si>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</si>
  <si>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</si>
  <si>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</si>
  <si>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</si>
  <si>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</si>
  <si>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</si>
  <si>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</si>
  <si>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</si>
  <si>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</si>
  <si>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</si>
  <si>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</si>
  <si>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</si>
  <si>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</si>
  <si>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</si>
  <si>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</si>
  <si>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</si>
  <si>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</si>
  <si>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</si>
  <si>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</si>
  <si>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</si>
  <si>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</si>
  <si>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</si>
  <si>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</si>
  <si>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</si>
  <si>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</si>
  <si>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</si>
  <si>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</si>
  <si>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</si>
  <si>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</si>
  <si>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</si>
  <si>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</si>
  <si>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</si>
  <si>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</si>
  <si>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</si>
  <si>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</si>
  <si>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</si>
  <si>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</si>
  <si>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</si>
  <si>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</si>
  <si>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</si>
  <si>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</si>
  <si>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</si>
  <si>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</si>
  <si>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</si>
  <si>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</si>
  <si>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</si>
  <si>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</si>
  <si>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</si>
  <si>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</si>
  <si>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</si>
  <si>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</si>
  <si>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</si>
  <si>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</si>
  <si>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</si>
  <si>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</si>
  <si>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</si>
  <si>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</si>
  <si>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</si>
  <si>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</si>
  <si>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</si>
  <si>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</si>
  <si>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</si>
  <si>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</si>
  <si>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</si>
  <si>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</si>
  <si>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</si>
  <si>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</si>
  <si>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</si>
  <si>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</si>
  <si>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</si>
  <si>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</si>
  <si>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</si>
  <si>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</si>
  <si>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</si>
  <si>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</si>
  <si>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</si>
  <si>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</si>
  <si>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</si>
  <si>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</si>
  <si>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</si>
  <si>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</si>
  <si>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</si>
  <si>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</si>
  <si>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</si>
  <si>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</si>
  <si>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</si>
  <si>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</si>
  <si>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</si>
  <si>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</si>
  <si>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</si>
  <si>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</si>
  <si>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</si>
  <si>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</si>
  <si>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</si>
  <si>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</si>
  <si>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</si>
  <si>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</si>
  <si>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</si>
  <si>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</si>
  <si>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</si>
  <si>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</si>
  <si>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</si>
  <si>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</si>
  <si>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</si>
  <si>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</si>
  <si>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</si>
  <si>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</si>
  <si>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</si>
  <si>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</si>
  <si>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</si>
  <si>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</si>
  <si>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</si>
  <si>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</si>
  <si>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</si>
  <si>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</si>
  <si>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</si>
  <si>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</si>
  <si>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</si>
  <si>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</si>
  <si>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</si>
  <si>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</si>
  <si>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</si>
  <si>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</si>
  <si>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</si>
  <si>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</si>
  <si>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</si>
  <si>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</si>
  <si>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</si>
  <si>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</si>
  <si>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</si>
  <si>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</si>
  <si>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</si>
  <si>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</si>
  <si>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</si>
  <si>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</si>
  <si>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</si>
  <si>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</si>
  <si>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</si>
  <si>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</si>
  <si>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</si>
  <si>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</si>
  <si>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</si>
  <si>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</si>
  <si>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</si>
  <si>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</si>
  <si>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</si>
  <si>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</si>
  <si>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</si>
  <si>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</si>
  <si>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</si>
  <si>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</si>
  <si>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</si>
  <si>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</si>
  <si>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</si>
  <si>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</si>
  <si>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</si>
  <si>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</si>
  <si>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</si>
  <si>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</si>
  <si>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</si>
  <si>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</si>
  <si>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</si>
  <si>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</si>
  <si>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</si>
  <si>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</si>
  <si>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</si>
  <si>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</si>
  <si>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</si>
  <si>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</si>
  <si>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</si>
  <si>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</si>
  <si>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</si>
  <si>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</si>
  <si>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</si>
  <si>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</si>
  <si>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</si>
  <si>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</si>
  <si>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</si>
  <si>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</si>
  <si>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</si>
  <si>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</si>
  <si>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</si>
  <si>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</si>
  <si>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</si>
  <si>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</si>
  <si>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</si>
  <si>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</si>
  <si>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</si>
  <si>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</si>
  <si>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</si>
  <si>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</si>
  <si>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</si>
  <si>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</si>
  <si>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</si>
  <si>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</si>
  <si>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</si>
  <si>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</si>
  <si>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</si>
  <si>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</si>
  <si>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</si>
  <si>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</si>
  <si>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</si>
  <si>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</si>
  <si>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</si>
  <si>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</si>
  <si>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</si>
  <si>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</si>
  <si>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</si>
  <si>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</si>
  <si>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</si>
  <si>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</si>
  <si>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</si>
  <si>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</si>
  <si>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</si>
  <si>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</si>
  <si>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</si>
  <si>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</si>
  <si>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</si>
  <si>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</si>
  <si>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</si>
  <si>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</si>
  <si>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</si>
  <si>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</si>
  <si>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</si>
  <si>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</si>
  <si>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</si>
  <si>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</si>
  <si>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</si>
  <si>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</si>
  <si>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</si>
  <si>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</si>
  <si>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</si>
  <si>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</si>
  <si>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</si>
  <si>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</si>
  <si>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</si>
  <si>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</si>
  <si>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</si>
  <si>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</si>
  <si>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</si>
  <si>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</si>
  <si>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</si>
  <si>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</si>
  <si>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</si>
  <si>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</si>
  <si>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</si>
  <si>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</si>
  <si>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</si>
  <si>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</si>
  <si>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</si>
  <si>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</si>
  <si>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</si>
  <si>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</si>
  <si>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</si>
  <si>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</si>
  <si>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</si>
  <si>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</si>
  <si>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</si>
  <si>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</si>
  <si>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</si>
  <si>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</si>
  <si>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</si>
  <si>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</si>
  <si>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</si>
  <si>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</si>
  <si>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</si>
  <si>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</si>
  <si>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</si>
  <si>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</si>
  <si>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</si>
  <si>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</si>
  <si>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</si>
  <si>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</si>
  <si>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</si>
  <si>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</si>
  <si>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</si>
  <si>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</si>
  <si>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</si>
  <si>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</si>
  <si>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</si>
  <si>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</si>
  <si>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</si>
  <si>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</si>
  <si>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</si>
  <si>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</si>
  <si>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</si>
  <si>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</si>
  <si>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</si>
  <si>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</si>
  <si>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</si>
  <si>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</si>
  <si>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</si>
  <si>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</si>
  <si>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</si>
  <si>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</si>
  <si>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</si>
  <si>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</si>
  <si>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</si>
  <si>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</si>
  <si>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</si>
  <si>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</si>
  <si>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</si>
  <si>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</si>
  <si>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</si>
  <si>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</si>
  <si>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</si>
  <si>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</si>
  <si>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</si>
  <si>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</si>
  <si>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</si>
  <si>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</si>
  <si>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</si>
  <si>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</si>
  <si>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</si>
  <si>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</si>
  <si>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</si>
  <si>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</si>
  <si>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</si>
  <si>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</si>
  <si>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</si>
  <si>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</si>
  <si>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</si>
  <si>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</si>
  <si>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</si>
  <si>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</si>
  <si>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</si>
  <si>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</si>
  <si>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</si>
  <si>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</si>
  <si>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</si>
  <si>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</si>
  <si>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</si>
  <si>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</si>
  <si>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</si>
  <si>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</si>
  <si>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</si>
  <si>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</si>
  <si>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</si>
  <si>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</si>
  <si>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</si>
  <si>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</si>
  <si>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</si>
  <si>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</si>
  <si>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</si>
  <si>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</si>
  <si>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</si>
  <si>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</si>
  <si>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</si>
  <si>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</si>
  <si>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</si>
  <si>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</si>
  <si>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</si>
  <si>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</si>
  <si>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</si>
  <si>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</si>
  <si>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</si>
  <si>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</si>
  <si>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</si>
  <si>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</si>
  <si>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</si>
  <si>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</si>
  <si>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</si>
  <si>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</si>
  <si>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</si>
  <si>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</si>
  <si>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</si>
  <si>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</si>
  <si>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</si>
  <si>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</si>
  <si>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</si>
  <si>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</si>
  <si>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</si>
  <si>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</si>
  <si>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</si>
  <si>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</si>
  <si>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</si>
  <si>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</si>
  <si>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</si>
  <si>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</si>
  <si>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</si>
  <si>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</si>
  <si>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</si>
  <si>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</si>
  <si>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</si>
  <si>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</si>
  <si>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</si>
  <si>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</si>
  <si>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</si>
  <si>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</si>
  <si>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</si>
  <si>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</si>
  <si>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</si>
  <si>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</si>
  <si>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</si>
  <si>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</si>
  <si>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</si>
  <si>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</si>
  <si>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</si>
  <si>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</si>
  <si>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</si>
  <si>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</si>
  <si>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</si>
  <si>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</si>
  <si>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</si>
  <si>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</si>
  <si>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</si>
  <si>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</si>
  <si>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</si>
  <si>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</si>
  <si>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</si>
  <si>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</si>
  <si>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</si>
  <si>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</si>
  <si>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</si>
  <si>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</si>
  <si>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</si>
  <si>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</si>
  <si>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</si>
  <si>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</si>
  <si>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</si>
  <si>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</si>
  <si>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</si>
  <si>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</si>
  <si>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</si>
  <si>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</si>
  <si>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</si>
  <si>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</si>
  <si>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</si>
  <si>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</si>
  <si>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</si>
  <si>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</si>
  <si>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</si>
  <si>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</si>
  <si>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</si>
  <si>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</si>
  <si>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</si>
  <si>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</si>
  <si>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</si>
  <si>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</si>
  <si>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</si>
  <si>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</si>
  <si>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</si>
  <si>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</si>
  <si>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</si>
  <si>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</si>
  <si>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</si>
  <si>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</si>
  <si>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</si>
  <si>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</si>
  <si>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</si>
  <si>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</si>
  <si>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</si>
  <si>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</si>
  <si>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</si>
  <si>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</si>
  <si>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</si>
  <si>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</si>
  <si>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</si>
  <si>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</si>
  <si>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</si>
  <si>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</si>
  <si>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</si>
  <si>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</si>
  <si>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</si>
  <si>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</si>
  <si>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</si>
  <si>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</si>
  <si>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</si>
  <si>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</si>
  <si>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</si>
  <si>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</si>
  <si>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</si>
  <si>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</si>
  <si>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</si>
  <si>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</si>
  <si>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</si>
  <si>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</si>
  <si>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</si>
  <si>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</si>
  <si>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</si>
  <si>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</si>
  <si>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</si>
  <si>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</si>
  <si>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</si>
  <si>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</si>
  <si>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</si>
  <si>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</si>
  <si>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</si>
  <si>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</si>
  <si>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</si>
  <si>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</si>
  <si>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</si>
  <si>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</si>
  <si>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</si>
  <si>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</si>
  <si>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</si>
  <si>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</si>
  <si>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</si>
  <si>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</si>
  <si>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</si>
  <si>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</si>
  <si>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</si>
  <si>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</si>
  <si>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</si>
  <si>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</si>
  <si>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</si>
  <si>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</si>
  <si>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</si>
  <si>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</si>
  <si>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</si>
  <si>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</si>
  <si>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</si>
  <si>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</si>
  <si>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</si>
  <si>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</si>
  <si>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</si>
  <si>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</si>
  <si>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</si>
  <si>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</si>
  <si>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</si>
  <si>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</si>
  <si>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</si>
  <si>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</si>
  <si>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</si>
  <si>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</si>
  <si>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</si>
  <si>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</si>
  <si>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</si>
  <si>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</si>
  <si>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</si>
  <si>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</si>
  <si>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</si>
  <si>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</si>
  <si>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</si>
  <si>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</si>
  <si>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</si>
  <si>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</si>
  <si>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</si>
  <si>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</si>
  <si>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</si>
  <si>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</si>
  <si>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</si>
  <si>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</si>
  <si>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</si>
  <si>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</si>
  <si>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</si>
  <si>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</si>
  <si>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</si>
  <si>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</si>
  <si>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</si>
  <si>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</si>
  <si>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</si>
  <si>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</si>
  <si>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</si>
  <si>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</si>
  <si>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</si>
  <si>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</si>
  <si>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</si>
  <si>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</si>
  <si>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</si>
  <si>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</si>
  <si>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</si>
  <si>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</si>
  <si>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</si>
  <si>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</si>
  <si>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</si>
  <si>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</si>
  <si>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</si>
  <si>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</si>
  <si>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</si>
  <si>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</si>
  <si>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</si>
  <si>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</si>
  <si>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</si>
  <si>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</si>
  <si>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</si>
  <si>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</si>
  <si>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</si>
  <si>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</si>
  <si>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</si>
  <si>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</si>
  <si>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</si>
  <si>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</si>
  <si>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</si>
  <si>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</si>
  <si>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</si>
  <si>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</si>
  <si>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</si>
  <si>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</si>
  <si>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</si>
  <si>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</si>
  <si>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</si>
  <si>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</si>
  <si>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</si>
  <si>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</si>
  <si>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</si>
  <si>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</si>
  <si>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</si>
  <si>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</si>
  <si>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</si>
  <si>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</si>
  <si>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</si>
  <si>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</si>
  <si>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</si>
  <si>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</si>
  <si>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</si>
  <si>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</si>
  <si>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</si>
  <si>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</si>
  <si>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</si>
  <si>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</si>
  <si>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</si>
  <si>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</si>
  <si>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</si>
  <si>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</si>
  <si>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</si>
  <si>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</si>
  <si>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</si>
  <si>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</si>
  <si>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</si>
  <si>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</si>
  <si>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</si>
  <si>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</si>
  <si>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</si>
  <si>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</si>
  <si>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</si>
  <si>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</si>
  <si>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</si>
  <si>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</si>
  <si>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</si>
  <si>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</si>
  <si>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</si>
  <si>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</si>
  <si>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</si>
  <si>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</si>
  <si>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</si>
  <si>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</si>
  <si>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</si>
  <si>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</si>
  <si>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</si>
  <si>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</si>
  <si>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</si>
  <si>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</si>
  <si>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</si>
  <si>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</si>
  <si>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</si>
  <si>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</si>
  <si>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</si>
  <si>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</si>
  <si>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</si>
  <si>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</si>
  <si>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</si>
  <si>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</si>
  <si>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</si>
  <si>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</si>
  <si>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</si>
  <si>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</si>
  <si>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</si>
  <si>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</si>
  <si>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</si>
  <si>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</si>
  <si>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</si>
  <si>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</si>
  <si>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</si>
  <si>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</si>
  <si>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</si>
  <si>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</si>
  <si>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</si>
  <si>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</si>
  <si>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</si>
  <si>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</si>
  <si>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</si>
  <si>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</si>
  <si>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</si>
  <si>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</si>
  <si>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</si>
  <si>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</si>
  <si>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</si>
  <si>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</si>
  <si>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</si>
  <si>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</si>
  <si>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</si>
  <si>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</si>
  <si>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</si>
  <si>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</si>
  <si>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</si>
  <si>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</si>
  <si>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</si>
  <si>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</si>
  <si>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</si>
  <si>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</si>
  <si>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</si>
  <si>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</si>
  <si>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</si>
  <si>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</si>
  <si>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</si>
  <si>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</si>
  <si>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</si>
  <si>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</si>
  <si>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</si>
  <si>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</si>
  <si>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</si>
  <si>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</si>
  <si>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</si>
  <si>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</si>
  <si>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</si>
  <si>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</si>
  <si>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</si>
  <si>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</si>
  <si>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</si>
  <si>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</si>
  <si>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</si>
  <si>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</si>
  <si>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</si>
  <si>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</si>
  <si>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</si>
  <si>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</si>
  <si>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</si>
  <si>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</si>
  <si>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</si>
  <si>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</si>
  <si>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</si>
  <si>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</si>
  <si>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</si>
  <si>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</si>
  <si>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</si>
  <si>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</si>
  <si>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</si>
  <si>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</si>
  <si>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</si>
  <si>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</si>
  <si>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</si>
  <si>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</si>
  <si>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</si>
  <si>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</si>
  <si>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</si>
  <si>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</si>
  <si>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</si>
  <si>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</si>
  <si>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</si>
  <si>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</si>
  <si>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</si>
  <si>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</si>
  <si>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</si>
  <si>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</si>
  <si>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</si>
  <si>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</si>
  <si>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</si>
  <si>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</si>
  <si>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</si>
  <si>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</si>
  <si>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</si>
  <si>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</si>
  <si>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</si>
  <si>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</si>
  <si>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</si>
  <si>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</si>
  <si>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</si>
  <si>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</si>
  <si>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</si>
  <si>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</si>
  <si>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</si>
  <si>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</si>
  <si>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</si>
  <si>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</si>
  <si>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</si>
  <si>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</si>
  <si>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</si>
  <si>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</si>
  <si>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</si>
  <si>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</si>
  <si>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</si>
  <si>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</si>
  <si>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</si>
  <si>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</si>
  <si>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</si>
  <si>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</si>
  <si>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</si>
  <si>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</si>
  <si>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</si>
  <si>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</si>
  <si>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</si>
  <si>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</si>
  <si>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</si>
  <si>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</si>
  <si>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</si>
  <si>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</si>
  <si>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</si>
  <si>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</si>
  <si>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</si>
  <si>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</si>
  <si>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</si>
  <si>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</si>
  <si>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</si>
  <si>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</si>
  <si>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</si>
  <si>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</si>
  <si>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</si>
  <si>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</si>
  <si>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</si>
  <si>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</si>
  <si>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</si>
  <si>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</si>
  <si>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</si>
  <si>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</si>
  <si>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</si>
  <si>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</si>
  <si>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</si>
  <si>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</si>
  <si>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</si>
  <si>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</si>
  <si>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</si>
  <si>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</si>
  <si>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</si>
  <si>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</si>
  <si>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</si>
  <si>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</si>
  <si>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</si>
  <si>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</si>
  <si>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</si>
  <si>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</si>
  <si>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</si>
  <si>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</si>
  <si>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</si>
  <si>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</si>
  <si>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</si>
  <si>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</si>
  <si>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</si>
  <si>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</si>
  <si>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</si>
  <si>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</si>
  <si>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</si>
  <si>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</si>
  <si>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</si>
  <si>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</si>
  <si>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</si>
  <si>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</si>
  <si>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</si>
  <si>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</si>
  <si>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</si>
  <si>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</si>
  <si>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</si>
  <si>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</si>
  <si>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</si>
  <si>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</si>
  <si>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</si>
  <si>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</si>
  <si>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</si>
  <si>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</si>
  <si>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</si>
  <si>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</si>
  <si>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</si>
  <si>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</si>
  <si>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</si>
  <si>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</si>
  <si>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</si>
  <si>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</si>
  <si>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</si>
  <si>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</si>
  <si>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</si>
  <si>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</si>
  <si>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</si>
  <si>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</si>
  <si>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</si>
  <si>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</si>
  <si>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</si>
  <si>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</si>
  <si>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</si>
  <si>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</si>
  <si>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</si>
  <si>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</si>
  <si>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</si>
  <si>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</si>
  <si>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</si>
  <si>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</si>
  <si>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</si>
  <si>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</si>
  <si>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</si>
  <si>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</si>
  <si>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</si>
  <si>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</si>
  <si>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</si>
  <si>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</si>
  <si>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</si>
  <si>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</si>
  <si>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</si>
  <si>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</si>
  <si>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</si>
  <si>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</si>
  <si>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</si>
  <si>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</si>
  <si>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</si>
  <si>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</si>
  <si>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</si>
  <si>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</si>
  <si>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</si>
  <si>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</si>
  <si>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</si>
  <si>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</si>
  <si>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</si>
  <si>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</si>
  <si>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</si>
  <si>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</si>
  <si>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</si>
  <si>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</si>
  <si>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</si>
  <si>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</si>
  <si>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</si>
  <si>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</si>
  <si>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</si>
  <si>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</si>
  <si>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</si>
  <si>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</si>
  <si>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</si>
  <si>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</si>
  <si>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</si>
  <si>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</si>
  <si>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</si>
  <si>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</si>
  <si>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</si>
  <si>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</si>
  <si>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</si>
  <si>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</si>
  <si>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</si>
  <si>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</si>
  <si>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</si>
  <si>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</si>
  <si>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</si>
  <si>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</si>
  <si>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</si>
  <si>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</si>
  <si>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</si>
  <si>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</si>
  <si>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</si>
  <si>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</si>
  <si>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</si>
  <si>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</si>
  <si>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</si>
  <si>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</si>
  <si>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</si>
  <si>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</si>
  <si>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</si>
  <si>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</si>
  <si>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</si>
  <si>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</si>
  <si>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</si>
  <si>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</si>
  <si>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</si>
  <si>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</si>
  <si>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</si>
  <si>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</si>
  <si>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</si>
  <si>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</si>
  <si>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</si>
  <si>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</si>
  <si>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</si>
  <si>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</si>
  <si>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</si>
  <si>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</si>
  <si>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</si>
  <si>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</si>
  <si>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</si>
  <si>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</si>
  <si>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</si>
  <si>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</si>
  <si>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</si>
  <si>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</si>
  <si>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</si>
  <si>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</si>
  <si>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</si>
  <si>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</si>
  <si>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</si>
  <si>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</si>
  <si>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</si>
  <si>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</si>
  <si>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</si>
  <si>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</si>
  <si>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</si>
  <si>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</si>
  <si>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</si>
  <si>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</si>
  <si>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</si>
  <si>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</si>
  <si>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</si>
  <si>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</si>
  <si>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</si>
  <si>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</si>
  <si>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</si>
  <si>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</si>
  <si>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</si>
  <si>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</si>
  <si>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</si>
  <si>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</si>
  <si>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</si>
  <si>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</si>
  <si>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</si>
  <si>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</si>
  <si>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</si>
  <si>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</si>
  <si>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</si>
  <si>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</si>
  <si>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</si>
  <si>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</si>
  <si>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</si>
  <si>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</si>
  <si>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</si>
  <si>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</si>
  <si>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</si>
  <si>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</si>
  <si>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</si>
  <si>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</si>
  <si>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</si>
  <si>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</si>
  <si>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</si>
  <si>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</si>
  <si>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</si>
  <si>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</si>
  <si>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</si>
  <si>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</si>
  <si>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</si>
  <si>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</si>
  <si>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</si>
  <si>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</si>
  <si>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</si>
  <si>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</si>
  <si>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</si>
  <si>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</si>
  <si>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</si>
  <si>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</si>
  <si>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</si>
  <si>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</si>
  <si>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</si>
  <si>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</si>
  <si>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</si>
  <si>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</si>
  <si>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</si>
  <si>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</si>
  <si>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</si>
  <si>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</si>
  <si>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</si>
  <si>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</si>
  <si>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</si>
  <si>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</si>
  <si>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</si>
  <si>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</si>
  <si>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</si>
  <si>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</si>
  <si>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</si>
  <si>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</si>
  <si>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</si>
  <si>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</si>
  <si>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</si>
  <si>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</si>
  <si>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</si>
  <si>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</si>
  <si>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</si>
  <si>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</si>
  <si>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</si>
  <si>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</si>
  <si>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</si>
  <si>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</si>
  <si>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</si>
  <si>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</si>
  <si>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</si>
  <si>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</si>
  <si>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</si>
  <si>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</si>
  <si>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</si>
  <si>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</si>
  <si>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</si>
  <si>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</si>
  <si>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</si>
  <si>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</si>
  <si>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</si>
  <si>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</si>
  <si>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</si>
  <si>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</si>
  <si>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</si>
  <si>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</si>
  <si>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</si>
  <si>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</si>
  <si>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</si>
  <si>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</si>
  <si>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</si>
  <si>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</si>
  <si>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</si>
  <si>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</si>
  <si>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</si>
  <si>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</si>
  <si>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</si>
  <si>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</si>
  <si>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</si>
  <si>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</si>
  <si>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</si>
  <si>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</si>
  <si>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</si>
  <si>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</si>
  <si>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</si>
  <si>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</si>
  <si>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</si>
  <si>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</si>
  <si>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</si>
  <si>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</si>
  <si>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</si>
  <si>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</si>
  <si>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</si>
  <si>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</si>
  <si>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</si>
  <si>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</si>
  <si>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</si>
  <si>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</si>
  <si>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</si>
  <si>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</si>
  <si>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</si>
  <si>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</si>
  <si>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</si>
  <si>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</si>
  <si>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</si>
  <si>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</si>
  <si>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</si>
  <si>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</si>
  <si>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</si>
  <si>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</si>
  <si>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</si>
  <si>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</si>
  <si>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</si>
  <si>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</si>
  <si>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</si>
  <si>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</si>
  <si>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</si>
  <si>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</si>
  <si>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</si>
  <si>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</si>
  <si>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</si>
  <si>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</si>
  <si>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</si>
  <si>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</si>
  <si>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</si>
  <si>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</si>
  <si>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</si>
  <si>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</si>
  <si>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</si>
  <si>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</si>
  <si>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</si>
  <si>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</si>
  <si>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</si>
  <si>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</si>
  <si>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</si>
  <si>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</si>
  <si>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</si>
  <si>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</si>
  <si>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</si>
  <si>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</si>
  <si>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</si>
  <si>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</si>
  <si>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</si>
  <si>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</si>
  <si>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</si>
  <si>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</si>
  <si>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</si>
  <si>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</si>
  <si>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</si>
  <si>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</si>
  <si>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</si>
  <si>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</si>
  <si>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</si>
  <si>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</si>
  <si>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</si>
  <si>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</si>
  <si>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</si>
  <si>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</si>
  <si>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</si>
  <si>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</si>
  <si>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</si>
  <si>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</si>
  <si>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</si>
  <si>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</si>
  <si>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</si>
  <si>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</si>
  <si>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</si>
  <si>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</si>
  <si>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</si>
  <si>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</si>
  <si>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</si>
  <si>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</si>
  <si>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</si>
  <si>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</si>
  <si>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</si>
  <si>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</si>
  <si>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</si>
  <si>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</si>
  <si>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</si>
  <si>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</si>
  <si>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</si>
  <si>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</si>
  <si>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</si>
  <si>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</si>
  <si>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</si>
  <si>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</si>
  <si>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</si>
  <si>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</si>
  <si>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</si>
  <si>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</si>
  <si>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</si>
  <si>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</si>
  <si>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</si>
  <si>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</si>
  <si>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</si>
  <si>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</si>
  <si>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</si>
  <si>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</si>
  <si>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</si>
  <si>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</si>
  <si>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</si>
  <si>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</si>
  <si>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</si>
  <si>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</si>
  <si>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</si>
  <si>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</si>
  <si>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</si>
  <si>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</si>
  <si>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</si>
  <si>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</si>
  <si>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</si>
  <si>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</si>
  <si>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</si>
  <si>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</si>
  <si>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</si>
  <si>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</si>
  <si>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</si>
  <si>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</si>
  <si>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</si>
  <si>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</si>
  <si>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</si>
  <si>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</si>
  <si>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</si>
  <si>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</si>
  <si>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</si>
  <si>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</si>
  <si>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</si>
  <si>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</si>
  <si>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</si>
  <si>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</si>
  <si>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</si>
  <si>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</si>
  <si>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</si>
  <si>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</si>
  <si>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</si>
  <si>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</si>
  <si>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</si>
  <si>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</si>
  <si>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</si>
  <si>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</si>
  <si>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</si>
  <si>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</si>
  <si>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</si>
  <si>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</si>
  <si>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</si>
  <si>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</si>
  <si>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</si>
  <si>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</si>
  <si>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</si>
  <si>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</si>
  <si>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</si>
  <si>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</si>
  <si>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</si>
  <si>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</si>
  <si>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</si>
  <si>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</si>
  <si>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</si>
  <si>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</si>
  <si>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</si>
  <si>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</si>
  <si>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</si>
  <si>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</si>
  <si>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</si>
  <si>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</si>
  <si>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</si>
  <si>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</si>
  <si>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</si>
  <si>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</si>
  <si>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</si>
  <si>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</si>
  <si>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</si>
  <si>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</si>
  <si>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</si>
  <si>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</si>
  <si>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</si>
  <si>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</si>
  <si>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</si>
  <si>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</si>
  <si>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</si>
  <si>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</si>
  <si>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</si>
  <si>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</si>
  <si>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</si>
  <si>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</si>
  <si>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</si>
  <si>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</si>
  <si>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</si>
  <si>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</si>
  <si>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</si>
  <si>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</si>
  <si>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</si>
  <si>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</si>
  <si>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</si>
  <si>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</si>
  <si>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</si>
  <si>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</si>
  <si>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</si>
  <si>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</si>
  <si>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</si>
  <si>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</si>
  <si>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</si>
  <si>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</si>
  <si>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</si>
  <si>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</si>
  <si>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</si>
  <si>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</si>
  <si>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</si>
  <si>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</si>
  <si>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</si>
  <si>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</si>
  <si>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</si>
  <si>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</si>
  <si>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</si>
  <si>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</si>
  <si>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</si>
  <si>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</si>
  <si>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</si>
  <si>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</si>
  <si>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</si>
  <si>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</si>
  <si>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</si>
  <si>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</si>
  <si>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</si>
  <si>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</si>
  <si>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</si>
  <si>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</si>
  <si>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</si>
  <si>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</si>
  <si>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</si>
  <si>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</si>
  <si>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</si>
  <si>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</si>
  <si>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</si>
  <si>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</si>
  <si>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</si>
  <si>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</si>
  <si>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</si>
  <si>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</si>
  <si>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</si>
  <si>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</si>
  <si>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</si>
  <si>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</si>
  <si>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</si>
  <si>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</si>
  <si>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</si>
  <si>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</si>
  <si>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</si>
  <si>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</si>
  <si>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</si>
  <si>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</si>
  <si>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</si>
  <si>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</si>
  <si>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</si>
  <si>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</si>
  <si>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</si>
  <si>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</si>
  <si>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</si>
  <si>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</si>
  <si>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</si>
  <si>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</si>
  <si>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</si>
  <si>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</si>
  <si>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</si>
  <si>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</si>
  <si>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</si>
  <si>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</si>
  <si>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</si>
  <si>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</si>
  <si>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</si>
  <si>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</si>
  <si>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</si>
  <si>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</si>
  <si>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</si>
  <si>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</si>
  <si>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</si>
  <si>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</si>
  <si>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</si>
  <si>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</si>
  <si>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</si>
  <si>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</si>
  <si>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</si>
  <si>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</si>
  <si>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</si>
  <si>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</si>
  <si>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</si>
  <si>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</si>
  <si>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</si>
  <si>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</si>
  <si>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</si>
  <si>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</si>
  <si>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</si>
  <si>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</si>
  <si>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</si>
  <si>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</si>
  <si>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</si>
  <si>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</si>
  <si>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</si>
  <si>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</si>
  <si>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</si>
  <si>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</si>
  <si>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</si>
  <si>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</si>
  <si>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</si>
  <si>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</si>
  <si>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</si>
  <si>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</si>
  <si>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</si>
  <si>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</si>
  <si>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</si>
  <si>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</si>
  <si>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</si>
  <si>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</si>
  <si>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</si>
  <si>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</si>
  <si>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</si>
  <si>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</si>
  <si>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</si>
  <si>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</si>
  <si>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</si>
  <si>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</si>
  <si>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</si>
  <si>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</si>
  <si>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</si>
  <si>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</si>
  <si>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</si>
  <si>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</si>
  <si>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</si>
  <si>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</si>
  <si>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</si>
  <si>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</si>
  <si>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</si>
  <si>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</si>
  <si>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</si>
  <si>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</si>
  <si>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</si>
  <si>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</si>
  <si>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</si>
  <si>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</si>
  <si>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</si>
  <si>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</si>
  <si>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</si>
  <si>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</si>
  <si>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</si>
  <si>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</si>
  <si>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</si>
  <si>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</si>
  <si>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</si>
  <si>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</si>
  <si>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</si>
  <si>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</si>
  <si>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</si>
  <si>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</si>
  <si>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</si>
  <si>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</si>
  <si>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</si>
  <si>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</si>
  <si>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</si>
  <si>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</si>
  <si>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</si>
  <si>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</si>
  <si>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</si>
  <si>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</si>
  <si>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</si>
  <si>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</si>
  <si>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</si>
  <si>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</si>
  <si>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</si>
  <si>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</si>
  <si>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</si>
  <si>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</si>
  <si>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</si>
  <si>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</si>
  <si>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</si>
  <si>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</si>
  <si>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</si>
  <si>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</si>
  <si>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</si>
  <si>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</si>
  <si>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</si>
  <si>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</si>
  <si>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</si>
  <si>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</si>
  <si>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</si>
  <si>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</si>
  <si>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</si>
  <si>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</si>
  <si>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</si>
  <si>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</si>
  <si>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</si>
  <si>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</si>
  <si>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</si>
  <si>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</si>
  <si>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</si>
  <si>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</si>
  <si>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</si>
  <si>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</si>
  <si>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</si>
  <si>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</si>
  <si>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</si>
  <si>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</si>
  <si>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</si>
  <si>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</si>
  <si>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</si>
  <si>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</si>
  <si>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</si>
  <si>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</si>
  <si>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</si>
  <si>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</si>
  <si>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</si>
  <si>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</si>
  <si>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</si>
  <si>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</si>
  <si>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</si>
  <si>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</si>
  <si>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</si>
  <si>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</si>
  <si>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</si>
  <si>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</si>
  <si>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</si>
  <si>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</si>
  <si>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</si>
  <si>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</si>
  <si>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</si>
  <si>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</si>
  <si>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</si>
  <si>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</si>
  <si>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</si>
  <si>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</si>
  <si>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</si>
  <si>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</si>
  <si>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</si>
  <si>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</si>
  <si>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</si>
  <si>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</si>
  <si>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</si>
  <si>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</si>
  <si>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</si>
  <si>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</si>
  <si>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</si>
  <si>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</si>
  <si>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</si>
  <si>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</si>
  <si>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</si>
  <si>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</si>
  <si>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</si>
  <si>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</si>
  <si>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</si>
  <si>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</si>
  <si>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</si>
  <si>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</si>
  <si>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</si>
  <si>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</si>
  <si>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</si>
  <si>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</si>
  <si>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</si>
  <si>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</si>
  <si>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</si>
  <si>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</si>
  <si>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</si>
  <si>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</si>
  <si>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</si>
  <si>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</si>
  <si>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</si>
  <si>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</si>
  <si>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</si>
  <si>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</si>
  <si>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</si>
  <si>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</si>
  <si>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</si>
  <si>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</si>
  <si>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</si>
  <si>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</si>
  <si>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</si>
  <si>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</si>
  <si>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</si>
  <si>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</si>
  <si>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</si>
  <si>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</si>
  <si>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</si>
  <si>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</si>
  <si>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</si>
  <si>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</si>
  <si>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</si>
  <si>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</si>
  <si>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</si>
  <si>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</si>
  <si>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</si>
  <si>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</si>
  <si>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</si>
  <si>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</si>
  <si>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</si>
  <si>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</si>
  <si>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</si>
  <si>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</si>
  <si>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</si>
  <si>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</si>
  <si>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</si>
  <si>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</si>
  <si>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</si>
  <si>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</si>
  <si>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</si>
  <si>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</si>
  <si>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</si>
  <si>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</si>
  <si>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</si>
  <si>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</si>
  <si>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</si>
  <si>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</si>
  <si>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</si>
  <si>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</si>
  <si>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</si>
  <si>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</si>
  <si>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</si>
  <si>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</si>
  <si>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</si>
  <si>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</si>
  <si>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</si>
  <si>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</si>
  <si>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</si>
  <si>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</si>
  <si>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</si>
  <si>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</si>
  <si>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</si>
  <si>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</si>
  <si>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</si>
  <si>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</si>
  <si>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</si>
  <si>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</si>
  <si>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</si>
  <si>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</si>
  <si>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</si>
  <si>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</si>
  <si>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</si>
  <si>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</si>
  <si>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</si>
  <si>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</si>
  <si>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</si>
  <si>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</si>
  <si>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</si>
  <si>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</si>
  <si>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</si>
  <si>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</si>
  <si>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</si>
  <si>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</si>
  <si>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</si>
  <si>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</si>
  <si>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</si>
  <si>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</si>
  <si>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</si>
  <si>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</si>
  <si>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</si>
  <si>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</si>
  <si>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</si>
  <si>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</si>
  <si>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</si>
  <si>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</si>
  <si>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</si>
  <si>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</si>
  <si>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</si>
  <si>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</si>
  <si>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</si>
  <si>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</si>
  <si>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</si>
  <si>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</si>
  <si>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</si>
  <si>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</si>
  <si>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</si>
  <si>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</si>
  <si>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</si>
  <si>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</si>
  <si>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</si>
  <si>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</si>
  <si>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</si>
  <si>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</si>
  <si>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</si>
  <si>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</si>
  <si>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</si>
  <si>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</si>
  <si>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</si>
  <si>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</si>
  <si>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</si>
  <si>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</si>
  <si>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</si>
  <si>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</si>
  <si>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</si>
  <si>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</si>
  <si>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</si>
  <si>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</si>
  <si>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</si>
  <si>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</si>
  <si>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</si>
  <si>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</si>
  <si>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</si>
  <si>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</si>
  <si>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</si>
  <si>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</si>
  <si>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</si>
  <si>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</si>
  <si>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</si>
  <si>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</si>
  <si>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</si>
  <si>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</si>
  <si>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</si>
  <si>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</si>
  <si>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</si>
  <si>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</si>
  <si>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</si>
  <si>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</si>
  <si>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</si>
  <si>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</si>
  <si>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</si>
  <si>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</si>
  <si>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</si>
  <si>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</si>
  <si>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</si>
  <si>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</si>
  <si>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</si>
  <si>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</si>
  <si>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</si>
  <si>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</si>
  <si>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</si>
  <si>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</si>
  <si>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</si>
  <si>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</si>
  <si>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</si>
  <si>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</si>
  <si>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</si>
  <si>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</si>
  <si>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</si>
  <si>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</si>
  <si>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</si>
  <si>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</si>
  <si>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</si>
  <si>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</si>
  <si>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</si>
  <si>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</si>
  <si>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</si>
  <si>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</si>
  <si>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</si>
  <si>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</si>
  <si>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</si>
  <si>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</si>
  <si>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</si>
  <si>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</si>
  <si>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</si>
  <si>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</si>
  <si>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</si>
  <si>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</si>
  <si>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</si>
  <si>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</si>
  <si>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</si>
  <si>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</si>
  <si>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</si>
  <si>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</si>
  <si>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</si>
  <si>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</si>
  <si>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</si>
  <si>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</si>
  <si>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</si>
  <si>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</si>
  <si>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</si>
  <si>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</si>
  <si>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</si>
  <si>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</si>
  <si>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</si>
  <si>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</si>
  <si>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</si>
  <si>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</si>
  <si>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</si>
  <si>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</si>
  <si>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</si>
  <si>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</si>
  <si>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</si>
  <si>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</si>
  <si>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</si>
  <si>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</si>
  <si>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</si>
  <si>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</si>
  <si>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</si>
  <si>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</si>
  <si>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</si>
  <si>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</si>
  <si>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</si>
  <si>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</si>
  <si>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</si>
  <si>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</si>
  <si>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</si>
  <si>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</si>
  <si>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</si>
  <si>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</si>
  <si>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</si>
  <si>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</si>
  <si>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</si>
  <si>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</si>
  <si>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</si>
  <si>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</si>
  <si>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</si>
  <si>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</si>
  <si>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</si>
  <si>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</si>
  <si>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</si>
  <si>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</si>
  <si>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</si>
  <si>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</si>
  <si>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</si>
  <si>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</si>
  <si>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</si>
  <si>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</si>
  <si>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</si>
  <si>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</si>
  <si>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</si>
  <si>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</si>
  <si>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</si>
  <si>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</si>
  <si>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</si>
  <si>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</si>
  <si>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</si>
  <si>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</si>
  <si>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</si>
  <si>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</si>
  <si>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</si>
  <si>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</si>
  <si>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</si>
  <si>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</si>
  <si>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</si>
  <si>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</si>
  <si>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</si>
  <si>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</si>
  <si>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</si>
  <si>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</si>
  <si>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</si>
  <si>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</si>
  <si>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</si>
  <si>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</si>
  <si>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</si>
  <si>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</si>
  <si>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</si>
  <si>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</si>
  <si>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</si>
  <si>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</si>
  <si>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</si>
  <si>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</si>
  <si>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</si>
  <si>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</si>
  <si>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</si>
  <si>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</si>
  <si>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</si>
  <si>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</si>
  <si>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</si>
  <si>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</si>
  <si>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</si>
  <si>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</si>
  <si>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</si>
  <si>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</si>
  <si>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</si>
  <si>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</si>
  <si>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</si>
  <si>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</si>
  <si>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</si>
  <si>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</si>
  <si>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</si>
  <si>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</si>
  <si>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</si>
  <si>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</si>
  <si>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</si>
  <si>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</si>
  <si>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</si>
  <si>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</si>
  <si>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</si>
  <si>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</si>
  <si>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</si>
  <si>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</si>
  <si>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</si>
  <si>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</si>
  <si>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</si>
  <si>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</si>
  <si>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</si>
  <si>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</si>
  <si>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</si>
  <si>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</si>
  <si>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</si>
  <si>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</si>
  <si>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</si>
  <si>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</si>
  <si>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</si>
  <si>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</si>
  <si>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</si>
  <si>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</si>
  <si>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</si>
  <si>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</si>
  <si>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</si>
  <si>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</si>
  <si>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</si>
  <si>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</si>
  <si>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</si>
  <si>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</si>
  <si>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</si>
  <si>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</si>
  <si>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</si>
  <si>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</si>
  <si>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</si>
  <si>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</si>
  <si>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</si>
  <si>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</si>
  <si>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</si>
  <si>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</si>
  <si>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</si>
  <si>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</si>
  <si>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</si>
  <si>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</si>
  <si>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</si>
  <si>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</si>
  <si>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</si>
  <si>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</si>
  <si>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</si>
  <si>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</si>
  <si>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</si>
  <si>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</si>
  <si>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</si>
  <si>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</si>
  <si>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</si>
  <si>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</si>
  <si>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</si>
  <si>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</si>
  <si>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</si>
  <si>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</si>
  <si>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</si>
  <si>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</si>
  <si>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</si>
  <si>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</si>
  <si>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</si>
  <si>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</si>
  <si>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</si>
  <si>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</si>
  <si>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</si>
  <si>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</si>
  <si>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</si>
  <si>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</si>
  <si>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</si>
  <si>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</si>
  <si>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</si>
  <si>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</si>
  <si>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</si>
  <si>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</si>
  <si>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</si>
  <si>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</si>
  <si>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</si>
  <si>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</si>
  <si>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</si>
  <si>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</si>
  <si>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</si>
  <si>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</si>
  <si>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</si>
  <si>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</si>
  <si>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</si>
  <si>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</si>
  <si>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</si>
  <si>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</si>
  <si>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</si>
  <si>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</si>
  <si>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</si>
  <si>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</si>
  <si>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</si>
  <si>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</si>
  <si>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</si>
  <si>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</si>
  <si>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</si>
  <si>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</si>
  <si>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</si>
  <si>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</si>
  <si>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</si>
  <si>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</si>
  <si>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</si>
  <si>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</si>
  <si>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</si>
  <si>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</si>
  <si>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</si>
  <si>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</si>
  <si>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</si>
  <si>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</si>
  <si>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</si>
  <si>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</si>
  <si>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</si>
  <si>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</si>
  <si>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</si>
  <si>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</si>
  <si>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</si>
  <si>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</si>
  <si>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</si>
  <si>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</si>
  <si>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</si>
  <si>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</si>
  <si>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</si>
  <si>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</si>
  <si>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</si>
  <si>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</si>
  <si>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</si>
  <si>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</si>
  <si>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</si>
  <si>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</si>
  <si>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</si>
  <si>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</si>
  <si>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</si>
  <si>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</si>
  <si>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</si>
  <si>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</si>
  <si>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</si>
  <si>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</si>
  <si>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</si>
  <si>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</si>
  <si>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</si>
  <si>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</si>
  <si>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</si>
  <si>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</si>
  <si>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</si>
  <si>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</si>
  <si>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</si>
  <si>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</si>
  <si>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</si>
  <si>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</si>
  <si>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</si>
  <si>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</si>
  <si>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</si>
  <si>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</si>
  <si>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</si>
  <si>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</si>
  <si>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</si>
  <si>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</si>
  <si>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</si>
  <si>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</si>
  <si>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</si>
  <si>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</si>
  <si>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</si>
  <si>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</si>
  <si>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</si>
  <si>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</si>
  <si>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</si>
  <si>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</si>
  <si>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</si>
  <si>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</si>
  <si>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</si>
  <si>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</si>
  <si>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</si>
  <si>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</si>
  <si>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</si>
  <si>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</si>
  <si>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</si>
  <si>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</si>
  <si>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</si>
  <si>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</si>
  <si>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</si>
  <si>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</si>
  <si>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</si>
  <si>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</si>
  <si>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</si>
  <si>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</si>
  <si>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</si>
  <si>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</si>
  <si>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</si>
  <si>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</si>
  <si>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</si>
  <si>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</si>
  <si>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</si>
  <si>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</si>
  <si>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</si>
  <si>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</si>
  <si>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</si>
  <si>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</si>
  <si>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</si>
  <si>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</si>
  <si>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</si>
  <si>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</si>
  <si>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</si>
  <si>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</si>
  <si>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</si>
  <si>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</si>
  <si>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</si>
  <si>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</si>
  <si>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</si>
  <si>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</si>
  <si>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</si>
  <si>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</si>
  <si>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</si>
  <si>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</si>
  <si>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</si>
  <si>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</si>
  <si>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</si>
  <si>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</si>
  <si>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</si>
  <si>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</si>
  <si>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</si>
  <si>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</si>
  <si>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</si>
  <si>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</si>
  <si>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</si>
  <si>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</si>
  <si>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</si>
  <si>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</si>
  <si>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</si>
  <si>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</si>
  <si>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</si>
  <si>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</si>
  <si>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</si>
  <si>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</si>
  <si>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</si>
  <si>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</si>
  <si>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</si>
  <si>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</si>
  <si>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</si>
  <si>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</si>
  <si>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</si>
  <si>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</si>
  <si>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</si>
  <si>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</si>
  <si>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</si>
  <si>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</si>
  <si>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</si>
  <si>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</si>
  <si>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</si>
  <si>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</si>
  <si>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</si>
  <si>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</si>
  <si>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</si>
  <si>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</si>
  <si>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</si>
  <si>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</si>
  <si>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</si>
  <si>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</si>
  <si>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</si>
  <si>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</si>
  <si>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</si>
  <si>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</si>
  <si>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</si>
  <si>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</si>
  <si>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</si>
  <si>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</si>
  <si>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</si>
  <si>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</si>
  <si>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</si>
  <si>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</si>
  <si>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</si>
  <si>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</si>
  <si>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</si>
  <si>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</si>
  <si>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</si>
  <si>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</si>
  <si>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</si>
  <si>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</si>
  <si>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</si>
  <si>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</si>
  <si>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</si>
  <si>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</si>
  <si>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</si>
  <si>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</si>
  <si>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</si>
  <si>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</si>
  <si>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</si>
  <si>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</si>
  <si>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</si>
  <si>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</si>
  <si>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</si>
  <si>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</si>
  <si>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</si>
  <si>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</si>
  <si>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</si>
  <si>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</si>
  <si>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</si>
  <si>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</si>
  <si>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</si>
  <si>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</si>
  <si>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</si>
  <si>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</si>
  <si>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</si>
  <si>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</si>
  <si>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</si>
  <si>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</si>
  <si>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</si>
  <si>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</si>
  <si>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</si>
  <si>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</si>
  <si>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</si>
  <si>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</si>
  <si>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</si>
  <si>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</si>
  <si>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</si>
  <si>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</si>
  <si>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</si>
  <si>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</si>
  <si>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</si>
  <si>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</si>
  <si>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</si>
  <si>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</si>
  <si>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</si>
  <si>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</si>
  <si>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</si>
  <si>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</si>
  <si>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</si>
  <si>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</si>
  <si>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</si>
  <si>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</si>
  <si>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</si>
  <si>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</si>
  <si>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</si>
  <si>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</si>
  <si>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</si>
  <si>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</si>
  <si>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</si>
  <si>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</si>
  <si>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</si>
  <si>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</si>
  <si>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</si>
  <si>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</si>
  <si>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</si>
  <si>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</si>
  <si>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</si>
  <si>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</si>
  <si>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</si>
  <si>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</si>
  <si>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</si>
  <si>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</si>
  <si>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</si>
  <si>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</si>
  <si>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</si>
  <si>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</si>
  <si>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</si>
  <si>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</si>
  <si>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</si>
  <si>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</si>
  <si>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</si>
  <si>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</si>
  <si>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</si>
  <si>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</si>
  <si>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</si>
  <si>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</si>
  <si>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</si>
  <si>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</si>
  <si>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</si>
  <si>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</si>
  <si>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</si>
  <si>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</si>
  <si>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</si>
  <si>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</si>
  <si>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</si>
  <si>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</si>
  <si>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</si>
  <si>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</si>
  <si>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</si>
  <si>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</si>
  <si>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</si>
  <si>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</si>
  <si>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</si>
  <si>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</si>
  <si>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</si>
  <si>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</si>
  <si>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</si>
  <si>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</si>
  <si>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</si>
  <si>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</si>
  <si>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</si>
  <si>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</si>
  <si>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</si>
  <si>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</si>
  <si>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</si>
  <si>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</si>
  <si>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</si>
  <si>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</si>
  <si>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</si>
  <si>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</si>
  <si>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</si>
  <si>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</si>
  <si>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</si>
  <si>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</si>
  <si>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</si>
  <si>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</si>
  <si>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</si>
  <si>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</si>
  <si>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</si>
  <si>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</si>
  <si>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</si>
  <si>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</si>
  <si>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</si>
  <si>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</si>
  <si>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</si>
  <si>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</si>
  <si>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</si>
  <si>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</si>
  <si>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</si>
  <si>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</si>
  <si>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</si>
  <si>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</si>
  <si>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</si>
  <si>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</si>
  <si>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</si>
  <si>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</si>
  <si>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</si>
  <si>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</si>
  <si>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</si>
  <si>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</si>
  <si>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</si>
  <si>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</si>
  <si>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</si>
  <si>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</si>
  <si>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</si>
  <si>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</si>
  <si>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</si>
  <si>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</si>
  <si>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</si>
  <si>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</si>
  <si>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</si>
  <si>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</si>
  <si>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</si>
  <si>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</si>
  <si>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</si>
  <si>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</si>
  <si>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</si>
  <si>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</si>
  <si>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</si>
  <si>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</si>
  <si>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</si>
  <si>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</si>
  <si>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</si>
  <si>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</si>
  <si>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</si>
  <si>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</si>
  <si>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</si>
  <si>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</si>
  <si>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</si>
  <si>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</si>
  <si>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</si>
  <si>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</si>
  <si>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</si>
  <si>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</si>
  <si>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</si>
  <si>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</si>
  <si>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</si>
  <si>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</si>
  <si>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</si>
  <si>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</si>
  <si>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</si>
  <si>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</si>
  <si>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</si>
  <si>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</si>
  <si>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</si>
  <si>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</si>
  <si>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</si>
  <si>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</si>
  <si>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</si>
  <si>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</si>
  <si>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</si>
  <si>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</si>
  <si>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</si>
  <si>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</si>
  <si>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</si>
  <si>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</si>
  <si>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</si>
  <si>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</si>
  <si>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</si>
  <si>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</si>
  <si>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</si>
  <si>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</si>
  <si>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</si>
  <si>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</si>
  <si>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</si>
  <si>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</si>
  <si>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</si>
  <si>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</si>
  <si>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</si>
  <si>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</si>
  <si>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</si>
  <si>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</si>
  <si>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</si>
  <si>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</si>
  <si>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</si>
  <si>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</si>
  <si>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</si>
  <si>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</si>
  <si>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</si>
  <si>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</si>
  <si>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</si>
  <si>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</si>
  <si>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</si>
  <si>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</si>
  <si>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</si>
  <si>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</si>
  <si>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</si>
  <si>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</si>
  <si>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</si>
  <si>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</si>
  <si>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</si>
  <si>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</si>
  <si>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</si>
  <si>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</si>
  <si>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</si>
  <si>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</si>
  <si>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</si>
  <si>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</si>
  <si>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</si>
  <si>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</si>
  <si>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</si>
  <si>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</si>
  <si>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</si>
  <si>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</si>
  <si>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</si>
  <si>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</si>
  <si>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</si>
  <si>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</si>
  <si>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</si>
  <si>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</si>
  <si>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</si>
  <si>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</si>
  <si>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</si>
  <si>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</si>
  <si>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</si>
  <si>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</si>
  <si>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</si>
  <si>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</si>
  <si>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</si>
  <si>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</si>
  <si>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</si>
  <si>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</si>
  <si>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</si>
  <si>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</si>
  <si>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</si>
  <si>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</si>
  <si>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</si>
  <si>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</si>
  <si>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</si>
  <si>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</si>
  <si>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</si>
  <si>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</si>
  <si>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</si>
  <si>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</si>
  <si>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</si>
  <si>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</si>
  <si>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</si>
  <si>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</si>
  <si>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</si>
  <si>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</si>
  <si>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</si>
  <si>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</si>
  <si>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</si>
  <si>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</si>
  <si>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</si>
  <si>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</si>
  <si>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</si>
  <si>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</si>
  <si>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</si>
  <si>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</si>
  <si>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</si>
  <si>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</si>
  <si>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</si>
  <si>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</si>
  <si>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</si>
  <si>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</si>
  <si>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</si>
  <si>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</si>
  <si>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</si>
  <si>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</si>
  <si>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</si>
  <si>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</si>
  <si>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</si>
  <si>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</si>
  <si>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</si>
  <si>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</si>
  <si>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</si>
  <si>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</si>
  <si>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</si>
  <si>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</si>
  <si>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</si>
  <si>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</si>
  <si>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</si>
  <si>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</si>
  <si>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</si>
  <si>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</si>
  <si>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</si>
  <si>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</si>
  <si>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</si>
  <si>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</si>
  <si>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</si>
  <si>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</si>
  <si>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</si>
  <si>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</si>
  <si>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</si>
  <si>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</si>
  <si>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</si>
  <si>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</si>
  <si>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</si>
  <si>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</si>
  <si>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</si>
  <si>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</si>
  <si>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</si>
  <si>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</si>
  <si>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</si>
  <si>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</si>
  <si>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</si>
  <si>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</si>
  <si>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</si>
  <si>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</si>
  <si>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</si>
  <si>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</si>
  <si>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</si>
  <si>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</si>
  <si>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</si>
  <si>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</si>
  <si>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</si>
  <si>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</si>
  <si>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</si>
  <si>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</si>
  <si>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</si>
  <si>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</si>
  <si>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</si>
  <si>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</si>
  <si>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</si>
  <si>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</si>
  <si>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</si>
  <si>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</si>
  <si>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</si>
  <si>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</si>
  <si>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</si>
  <si>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</si>
  <si>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</si>
  <si>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</si>
  <si>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</si>
  <si>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</si>
  <si>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</si>
  <si>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</si>
  <si>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</si>
  <si>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</si>
  <si>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</si>
  <si>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</si>
  <si>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</si>
  <si>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</si>
  <si>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</si>
  <si>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</si>
  <si>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</si>
  <si>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</si>
  <si>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</si>
  <si>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</si>
  <si>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</si>
  <si>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</si>
  <si>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</si>
  <si>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</si>
  <si>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</si>
  <si>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</si>
  <si>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</si>
  <si>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</si>
  <si>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</si>
  <si>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</si>
  <si>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</si>
  <si>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</si>
  <si>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</si>
  <si>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</si>
  <si>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</si>
  <si>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</si>
  <si>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</si>
  <si>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</si>
  <si>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</si>
  <si>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</si>
  <si>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</si>
  <si>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</si>
  <si>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</si>
  <si>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</si>
  <si>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</si>
  <si>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</si>
  <si>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</si>
  <si>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</si>
  <si>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</si>
  <si>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</si>
  <si>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</si>
  <si>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</si>
  <si>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</si>
  <si>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</si>
  <si>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</si>
  <si>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</si>
  <si>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</si>
  <si>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</si>
  <si>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</si>
  <si>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</si>
  <si>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</si>
  <si>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</si>
  <si>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</si>
  <si>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</si>
  <si>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</si>
  <si>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</si>
  <si>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</si>
  <si>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</si>
  <si>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</si>
  <si>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</si>
  <si>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</si>
  <si>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</si>
  <si>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</si>
  <si>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</si>
  <si>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</si>
  <si>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</si>
  <si>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</si>
  <si>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</si>
  <si>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</si>
  <si>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</si>
  <si>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</si>
  <si>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</si>
  <si>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</si>
  <si>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</si>
  <si>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</si>
  <si>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</si>
  <si>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</si>
  <si>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</si>
  <si>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</si>
  <si>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</si>
  <si>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</si>
  <si>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</si>
  <si>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</si>
  <si>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</si>
  <si>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</si>
  <si>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</si>
  <si>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</si>
  <si>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</si>
  <si>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</si>
  <si>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</si>
  <si>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</si>
  <si>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</si>
  <si>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</si>
  <si>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</si>
  <si>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</si>
  <si>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</si>
  <si>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</si>
  <si>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</si>
  <si>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</si>
  <si>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</si>
  <si>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</si>
  <si>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</si>
  <si>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</si>
  <si>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</si>
  <si>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</si>
  <si>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</si>
  <si>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</si>
  <si>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</si>
  <si>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</si>
  <si>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</si>
  <si>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</si>
  <si>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</si>
  <si>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</si>
  <si>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</si>
  <si>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</si>
  <si>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</si>
  <si>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</si>
  <si>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</si>
  <si>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</si>
  <si>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</si>
  <si>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</si>
  <si>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</si>
  <si>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</si>
  <si>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</si>
  <si>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</si>
  <si>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</si>
  <si>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</si>
  <si>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</si>
  <si>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</si>
  <si>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</si>
  <si>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</si>
  <si>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</si>
  <si>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</si>
  <si>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</si>
  <si>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</si>
  <si>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</si>
  <si>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</si>
  <si>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</si>
  <si>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</si>
  <si>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</si>
  <si>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</si>
  <si>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</si>
  <si>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</si>
  <si>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</si>
  <si>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</si>
  <si>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</si>
  <si>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</si>
  <si>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</si>
  <si>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</si>
  <si>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</si>
  <si>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</si>
  <si>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</si>
  <si>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</si>
  <si>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</si>
  <si>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</si>
  <si>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</si>
  <si>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</si>
  <si>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</si>
  <si>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</si>
  <si>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</si>
  <si>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</si>
  <si>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</si>
  <si>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</si>
  <si>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</si>
  <si>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</si>
  <si>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</si>
  <si>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</si>
  <si>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</si>
  <si>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</si>
  <si>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</si>
  <si>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</si>
  <si>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</si>
  <si>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</si>
  <si>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</si>
  <si>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</si>
  <si>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</si>
  <si>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</si>
  <si>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</si>
  <si>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</si>
  <si>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</si>
  <si>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</si>
  <si>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</si>
  <si>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</si>
  <si>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</si>
  <si>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</si>
  <si>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</si>
  <si>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</si>
  <si>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</si>
  <si>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</si>
  <si>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</si>
  <si>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</si>
  <si>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</si>
  <si>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</si>
  <si>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</si>
  <si>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</si>
  <si>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</si>
  <si>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</si>
  <si>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</si>
  <si>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</si>
  <si>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</si>
  <si>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</si>
  <si>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</si>
  <si>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</si>
  <si>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</si>
  <si>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</si>
  <si>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</si>
  <si>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</si>
  <si>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</si>
  <si>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</si>
  <si>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</si>
  <si>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</si>
  <si>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</si>
  <si>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</si>
  <si>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</si>
  <si>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</si>
  <si>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</si>
  <si>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</si>
  <si>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</si>
  <si>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</si>
  <si>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</si>
  <si>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</si>
  <si>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</si>
  <si>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</si>
  <si>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</si>
  <si>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</si>
  <si>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</si>
  <si>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</si>
  <si>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</si>
  <si>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</si>
  <si>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</si>
  <si>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</si>
  <si>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</si>
  <si>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</si>
  <si>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</si>
  <si>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</si>
  <si>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</si>
  <si>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</si>
  <si>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</si>
  <si>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</si>
  <si>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</si>
  <si>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</si>
  <si>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</si>
  <si>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</si>
  <si>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</si>
  <si>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</si>
  <si>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</si>
  <si>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</si>
  <si>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</si>
  <si>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</si>
  <si>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</si>
  <si>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</si>
  <si>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</si>
  <si>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</si>
  <si>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</si>
  <si>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</si>
  <si>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</si>
  <si>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</si>
  <si>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</si>
  <si>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</si>
  <si>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</si>
  <si>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</si>
  <si>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</si>
  <si>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</si>
  <si>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</si>
  <si>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</si>
  <si>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</si>
  <si>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</si>
  <si>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</si>
  <si>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</si>
  <si>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</si>
  <si>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</si>
  <si>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</si>
  <si>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</si>
  <si>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</si>
  <si>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</si>
  <si>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</si>
  <si>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</si>
  <si>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</si>
  <si>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</si>
  <si>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</si>
  <si>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</si>
  <si>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</si>
  <si>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</si>
  <si>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</si>
  <si>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</si>
  <si>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</si>
  <si>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</si>
  <si>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</si>
  <si>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</si>
  <si>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</si>
  <si>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</si>
  <si>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</si>
  <si>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</si>
  <si>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</si>
  <si>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</si>
  <si>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</si>
  <si>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</si>
  <si>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</si>
  <si>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</si>
  <si>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</si>
  <si>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</si>
  <si>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</si>
  <si>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</si>
  <si>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</si>
  <si>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</si>
  <si>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</si>
  <si>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</si>
  <si>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</si>
  <si>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</si>
  <si>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</si>
  <si>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</si>
  <si>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</si>
  <si>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</si>
  <si>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</si>
  <si>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</si>
  <si>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</si>
  <si>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</si>
  <si>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</si>
  <si>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</si>
  <si>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</si>
  <si>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</si>
  <si>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</si>
  <si>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</si>
  <si>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</si>
  <si>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</si>
  <si>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</si>
  <si>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</si>
  <si>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</si>
  <si>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</si>
  <si>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</si>
  <si>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</si>
  <si>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</si>
  <si>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</si>
  <si>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</si>
  <si>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</si>
  <si>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</si>
  <si>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</si>
  <si>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</si>
  <si>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</si>
  <si>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</si>
  <si>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</si>
  <si>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</si>
  <si>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</si>
  <si>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</si>
  <si>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</si>
  <si>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</si>
  <si>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</si>
  <si>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</si>
  <si>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</si>
  <si>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</si>
  <si>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</si>
  <si>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</si>
  <si>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</si>
  <si>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</si>
  <si>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</si>
  <si>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</si>
  <si>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</si>
  <si>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</si>
  <si>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</si>
  <si>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</si>
  <si>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</si>
  <si>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</si>
  <si>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</si>
  <si>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</si>
  <si>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</si>
  <si>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</si>
  <si>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</si>
  <si>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</si>
  <si>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</si>
  <si>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</si>
  <si>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</si>
  <si>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</si>
  <si>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</si>
  <si>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</si>
  <si>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</si>
  <si>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</si>
  <si>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</si>
  <si>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</si>
  <si>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</si>
  <si>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</si>
  <si>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</si>
  <si>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</si>
  <si>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</si>
  <si>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</si>
  <si>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</si>
  <si>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</si>
  <si>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</si>
  <si>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</si>
  <si>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</si>
  <si>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</si>
  <si>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</si>
  <si>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</si>
  <si>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</si>
  <si>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</si>
  <si>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</si>
  <si>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</si>
  <si>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</si>
  <si>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</si>
  <si>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</si>
  <si>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</si>
  <si>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</si>
  <si>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</si>
  <si>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</si>
  <si>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</si>
  <si>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</si>
  <si>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</si>
  <si>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</si>
  <si>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</si>
  <si>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</si>
  <si>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</si>
  <si>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</si>
  <si>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</si>
  <si>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</si>
  <si>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</si>
  <si>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</si>
  <si>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</si>
  <si>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</si>
  <si>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</si>
  <si>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</si>
  <si>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</si>
  <si>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</si>
  <si>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</si>
  <si>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</si>
  <si>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</si>
  <si>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</si>
  <si>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</si>
  <si>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</si>
  <si>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</si>
  <si>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</si>
  <si>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</si>
  <si>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</si>
  <si>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</si>
  <si>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</si>
  <si>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</si>
  <si>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</si>
  <si>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</si>
  <si>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</si>
  <si>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</si>
  <si>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</si>
  <si>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</si>
  <si>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</si>
  <si>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</si>
  <si>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</si>
  <si>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</si>
  <si>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</si>
  <si>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</si>
  <si>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</si>
  <si>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</si>
  <si>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</si>
  <si>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</si>
  <si>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</si>
  <si>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</si>
  <si>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</si>
  <si>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</si>
  <si>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</si>
  <si>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</si>
  <si>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</si>
  <si>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</si>
  <si>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</si>
  <si>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</si>
  <si>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</si>
  <si>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</si>
  <si>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</si>
  <si>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</si>
  <si>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</si>
  <si>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</si>
  <si>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</si>
  <si>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</si>
  <si>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</si>
  <si>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</si>
  <si>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</si>
  <si>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</si>
  <si>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</si>
  <si>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</si>
  <si>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</si>
  <si>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</si>
  <si>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</si>
  <si>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</si>
  <si>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</si>
  <si>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</si>
  <si>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</si>
  <si>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</si>
  <si>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</si>
  <si>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</si>
  <si>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</si>
  <si>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</si>
  <si>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</si>
  <si>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</si>
  <si>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</si>
  <si>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</si>
  <si>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</si>
  <si>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</si>
  <si>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</si>
  <si>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</si>
  <si>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</si>
  <si>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</si>
  <si>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</si>
  <si>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</si>
  <si>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</si>
  <si>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</si>
  <si>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</si>
  <si>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</si>
  <si>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</si>
  <si>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</si>
  <si>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</si>
  <si>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</si>
  <si>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</si>
  <si>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</si>
  <si>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</si>
  <si>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</si>
  <si>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</si>
  <si>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</si>
  <si>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</si>
  <si>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</si>
  <si>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</si>
  <si>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</si>
  <si>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</si>
  <si>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</si>
  <si>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</si>
  <si>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</si>
  <si>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</si>
  <si>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</si>
  <si>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</si>
  <si>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</si>
  <si>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</si>
  <si>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</si>
  <si>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</si>
  <si>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</si>
  <si>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</si>
  <si>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</si>
  <si>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</si>
  <si>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</si>
  <si>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</si>
  <si>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</si>
  <si>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</si>
  <si>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</si>
  <si>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</si>
  <si>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</si>
  <si>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</si>
  <si>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</si>
  <si>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</si>
  <si>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</si>
  <si>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</si>
  <si>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</si>
  <si>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</si>
  <si>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</si>
  <si>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</si>
  <si>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</si>
  <si>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</si>
  <si>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</si>
  <si>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</si>
  <si>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</si>
  <si>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</si>
  <si>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</si>
  <si>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</si>
  <si>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</si>
  <si>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</si>
  <si>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</si>
  <si>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</si>
  <si>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</si>
  <si>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</si>
  <si>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</si>
  <si>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</si>
  <si>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</si>
  <si>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</si>
  <si>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</si>
  <si>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</si>
  <si>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</si>
  <si>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</si>
  <si>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</si>
  <si>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</si>
  <si>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</si>
  <si>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</si>
  <si>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</si>
  <si>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</si>
  <si>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</si>
  <si>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</si>
  <si>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</si>
  <si>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</si>
  <si>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</si>
  <si>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</si>
  <si>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</si>
  <si>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</si>
  <si>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</si>
  <si>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</si>
  <si>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</si>
  <si>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</si>
  <si>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</si>
  <si>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</si>
  <si>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</si>
  <si>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</si>
  <si>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</si>
  <si>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</si>
  <si>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</si>
  <si>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</si>
  <si>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</si>
  <si>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</si>
  <si>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</si>
  <si>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</si>
  <si>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</si>
  <si>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</si>
  <si>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</si>
  <si>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</si>
  <si>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</si>
  <si>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</si>
  <si>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</si>
  <si>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</si>
  <si>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</si>
  <si>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</si>
  <si>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</si>
  <si>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</si>
  <si>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</si>
  <si>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</si>
  <si>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</si>
  <si>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</si>
  <si>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</si>
  <si>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</si>
  <si>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</si>
  <si>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</si>
  <si>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</si>
  <si>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</si>
  <si>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</si>
  <si>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</si>
  <si>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</si>
  <si>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</si>
  <si>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</si>
  <si>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</si>
  <si>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</si>
  <si>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</si>
  <si>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</si>
  <si>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</si>
  <si>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</si>
  <si>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</si>
  <si>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</si>
  <si>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</si>
  <si>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</si>
  <si>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</si>
  <si>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</si>
  <si>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</si>
  <si>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</si>
  <si>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</si>
  <si>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</si>
  <si>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</si>
  <si>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</si>
  <si>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</si>
  <si>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</si>
  <si>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</si>
  <si>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</si>
  <si>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</si>
  <si>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</si>
  <si>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</si>
  <si>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</si>
  <si>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</si>
  <si>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</si>
  <si>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</si>
  <si>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</si>
  <si>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</si>
  <si>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</si>
  <si>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</si>
  <si>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</si>
  <si>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</si>
  <si>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</si>
  <si>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</si>
  <si>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</si>
  <si>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</si>
  <si>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</si>
  <si>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</si>
  <si>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</si>
  <si>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</si>
  <si>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</si>
  <si>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</si>
  <si>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</si>
  <si>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</si>
  <si>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</si>
  <si>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</si>
  <si>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</si>
  <si>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</si>
  <si>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</si>
  <si>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</si>
  <si>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</si>
  <si>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</si>
  <si>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</si>
  <si>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</si>
  <si>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</si>
  <si>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</si>
  <si>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</si>
  <si>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</si>
  <si>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</si>
  <si>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</si>
  <si>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</si>
  <si>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</si>
  <si>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</si>
  <si>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</si>
  <si>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</si>
  <si>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</si>
  <si>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</si>
  <si>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</si>
  <si>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</si>
  <si>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</si>
  <si>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</si>
  <si>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</si>
  <si>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</si>
  <si>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</si>
  <si>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</si>
  <si>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</si>
  <si>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</si>
  <si>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</si>
  <si>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</si>
  <si>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</si>
  <si>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</si>
  <si>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</si>
  <si>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</si>
  <si>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</si>
  <si>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</si>
  <si>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</si>
  <si>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</si>
  <si>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</si>
  <si>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</si>
  <si>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</si>
  <si>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</si>
  <si>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</si>
  <si>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</si>
  <si>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</si>
  <si>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</si>
  <si>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</si>
  <si>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</si>
  <si>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</si>
  <si>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</si>
  <si>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</si>
  <si>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</si>
  <si>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</si>
  <si>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</si>
  <si>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</si>
  <si>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</si>
  <si>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</si>
  <si>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</si>
  <si>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</si>
  <si>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</si>
  <si>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</si>
  <si>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</si>
  <si>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</si>
  <si>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</si>
  <si>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</si>
  <si>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</si>
  <si>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</si>
  <si>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</si>
  <si>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</si>
  <si>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</si>
  <si>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</si>
  <si>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</si>
  <si>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</si>
  <si>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</si>
  <si>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</si>
  <si>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</si>
  <si>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</si>
  <si>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</si>
  <si>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</si>
  <si>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</si>
  <si>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</si>
  <si>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</si>
  <si>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</si>
  <si>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</si>
  <si>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</si>
  <si>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</si>
  <si>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</si>
  <si>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</si>
  <si>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</si>
  <si>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</si>
  <si>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</si>
  <si>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</si>
  <si>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</si>
  <si>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</si>
  <si>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</si>
  <si>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</si>
  <si>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</si>
  <si>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</si>
  <si>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</si>
  <si>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</si>
  <si>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</si>
  <si>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</si>
  <si>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</si>
  <si>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</si>
  <si>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</si>
  <si>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</si>
  <si>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</si>
  <si>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</si>
  <si>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</si>
  <si>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</si>
  <si>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</si>
  <si>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</si>
  <si>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</si>
  <si>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</si>
  <si>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</si>
  <si>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</si>
  <si>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</si>
  <si>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</si>
  <si>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</si>
  <si>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</si>
  <si>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</si>
  <si>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</si>
  <si>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</si>
  <si>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</si>
  <si>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</si>
  <si>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</si>
  <si>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</si>
  <si>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</si>
  <si>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</si>
  <si>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</si>
  <si>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</si>
  <si>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</si>
  <si>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</si>
  <si>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</si>
  <si>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</si>
  <si>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</si>
  <si>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</si>
  <si>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</si>
  <si>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</si>
  <si>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</si>
  <si>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</si>
  <si>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</si>
  <si>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</si>
  <si>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</si>
  <si>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</si>
  <si>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</si>
  <si>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</si>
  <si>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</si>
  <si>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</si>
  <si>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</si>
  <si>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</si>
  <si>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</si>
  <si>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</si>
  <si>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</si>
  <si>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</si>
  <si>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</si>
  <si>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</si>
  <si>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</si>
  <si>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</si>
  <si>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</si>
  <si>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</si>
  <si>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</si>
  <si>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</si>
  <si>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</si>
  <si>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</si>
  <si>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</si>
  <si>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</si>
  <si>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</si>
  <si>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</si>
  <si>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</si>
  <si>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</si>
  <si>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</si>
  <si>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</si>
  <si>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</si>
  <si>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</si>
  <si>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</si>
  <si>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</si>
  <si>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</si>
  <si>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</si>
  <si>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</si>
  <si>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</si>
  <si>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</si>
  <si>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</si>
  <si>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</si>
  <si>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</si>
  <si>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</si>
  <si>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</si>
  <si>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</si>
  <si>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</si>
  <si>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</si>
  <si>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</si>
  <si>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</si>
  <si>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</si>
  <si>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</si>
  <si>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</si>
  <si>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</si>
  <si>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</si>
  <si>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</si>
  <si>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</si>
  <si>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</si>
  <si>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</si>
  <si>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</si>
  <si>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</si>
  <si>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</si>
  <si>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</si>
  <si>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</si>
  <si>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</si>
  <si>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</si>
  <si>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</si>
  <si>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</si>
  <si>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</si>
  <si>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</si>
  <si>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</si>
  <si>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</si>
  <si>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</si>
  <si>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</si>
  <si>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</si>
  <si>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</si>
  <si>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</si>
  <si>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</si>
  <si>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</si>
  <si>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</si>
  <si>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</si>
  <si>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</si>
  <si>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</si>
  <si>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</si>
  <si>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</si>
  <si>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</si>
  <si>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</si>
  <si>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</si>
  <si>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</si>
  <si>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</si>
  <si>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</si>
  <si>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</si>
  <si>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</si>
  <si>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</si>
  <si>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</si>
  <si>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</si>
  <si>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</si>
  <si>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</si>
  <si>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</si>
  <si>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</si>
  <si>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</si>
  <si>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</si>
  <si>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</si>
  <si>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</si>
  <si>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</si>
  <si>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</si>
  <si>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</si>
  <si>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</si>
  <si>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</si>
  <si>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</si>
  <si>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</si>
  <si>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</si>
  <si>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</si>
  <si>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</si>
  <si>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</si>
  <si>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</si>
  <si>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</si>
  <si>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</si>
  <si>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</si>
  <si>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</si>
  <si>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</si>
  <si>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</si>
  <si>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</si>
  <si>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</si>
  <si>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</si>
  <si>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</si>
  <si>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</si>
  <si>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</si>
  <si>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</si>
  <si>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</si>
  <si>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</si>
  <si>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</si>
  <si>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</si>
  <si>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</si>
  <si>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</si>
  <si>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</si>
  <si>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</si>
  <si>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</si>
  <si>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</si>
  <si>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</si>
  <si>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</si>
  <si>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</si>
  <si>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</si>
  <si>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</si>
  <si>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</si>
  <si>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</si>
  <si>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</si>
  <si>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</si>
  <si>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</si>
  <si>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</si>
  <si>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</si>
  <si>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</si>
  <si>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</si>
  <si>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</si>
  <si>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</si>
  <si>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</si>
  <si>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</si>
  <si>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</si>
  <si>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</si>
  <si>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</si>
  <si>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</si>
  <si>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</si>
  <si>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</si>
  <si>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</si>
  <si>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</si>
  <si>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</si>
  <si>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</si>
  <si>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</si>
  <si>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</si>
  <si>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</si>
  <si>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</si>
  <si>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</si>
  <si>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</si>
  <si>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</si>
  <si>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</si>
  <si>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</si>
  <si>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</si>
  <si>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</si>
  <si>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</si>
  <si>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</si>
  <si>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</si>
  <si>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</si>
  <si>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</si>
  <si>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</si>
  <si>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</si>
  <si>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</si>
  <si>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</si>
  <si>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</si>
  <si>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</si>
  <si>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</si>
  <si>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</si>
  <si>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</si>
  <si>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</si>
  <si>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</si>
  <si>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</si>
  <si>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</si>
  <si>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</si>
  <si>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</si>
  <si>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</si>
  <si>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</si>
  <si>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</si>
  <si>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</si>
  <si>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</si>
  <si>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</si>
  <si>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</si>
  <si>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</si>
  <si>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</si>
  <si>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</si>
  <si>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</si>
  <si>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</si>
  <si>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</si>
  <si>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</si>
  <si>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</si>
  <si>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</si>
  <si>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</si>
  <si>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</si>
  <si>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</si>
  <si>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</si>
  <si>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</si>
  <si>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</si>
  <si>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</si>
  <si>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</si>
  <si>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</si>
  <si>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</si>
  <si>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</si>
  <si>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</si>
  <si>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</si>
  <si>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</si>
  <si>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</si>
  <si>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</si>
  <si>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</si>
  <si>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</si>
  <si>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</si>
  <si>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</si>
  <si>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</si>
  <si>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</si>
  <si>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</si>
  <si>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</si>
  <si>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</si>
  <si>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</si>
  <si>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</si>
  <si>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</si>
  <si>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</si>
  <si>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</si>
  <si>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</si>
  <si>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</si>
  <si>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</si>
  <si>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</si>
  <si>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</si>
  <si>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</si>
  <si>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</si>
  <si>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</si>
  <si>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</si>
  <si>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</si>
  <si>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</si>
  <si>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</si>
  <si>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</si>
  <si>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</si>
  <si>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</si>
  <si>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</si>
  <si>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</si>
  <si>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</si>
  <si>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</si>
  <si>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</si>
  <si>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</si>
  <si>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</si>
  <si>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</si>
  <si>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</si>
  <si>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</si>
  <si>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</si>
  <si>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</si>
  <si>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</si>
  <si>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</si>
  <si>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</si>
  <si>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</si>
  <si>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</si>
  <si>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</si>
  <si>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</si>
  <si>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</si>
  <si>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</si>
  <si>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</si>
  <si>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</si>
  <si>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</si>
  <si>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</si>
  <si>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</si>
  <si>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</si>
  <si>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</si>
  <si>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</si>
  <si>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</si>
  <si>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</si>
  <si>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</si>
  <si>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</si>
  <si>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</si>
  <si>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</si>
  <si>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</si>
  <si>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</si>
  <si>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</si>
  <si>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</si>
  <si>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</si>
  <si>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</si>
  <si>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</si>
  <si>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</si>
  <si>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</si>
  <si>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</si>
  <si>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</si>
  <si>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</si>
  <si>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</si>
  <si>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</si>
  <si>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</si>
  <si>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</si>
  <si>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</si>
  <si>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</si>
  <si>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</si>
  <si>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</si>
  <si>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</si>
  <si>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</si>
  <si>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</si>
  <si>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</si>
  <si>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</si>
  <si>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</si>
  <si>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</si>
  <si>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</si>
  <si>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</si>
  <si>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</si>
  <si>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</si>
  <si>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</si>
  <si>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</si>
  <si>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</si>
  <si>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</si>
  <si>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</si>
  <si>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</si>
  <si>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</si>
  <si>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</si>
  <si>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</si>
  <si>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</si>
  <si>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</si>
  <si>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</si>
  <si>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</si>
  <si>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</si>
  <si>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</si>
  <si>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</si>
  <si>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</si>
  <si>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</si>
  <si>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</si>
  <si>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</si>
  <si>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</si>
  <si>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</si>
  <si>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</si>
  <si>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</si>
  <si>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</si>
  <si>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</si>
  <si>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</si>
  <si>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</si>
  <si>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</si>
  <si>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</si>
  <si>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</si>
  <si>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</si>
  <si>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</si>
  <si>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</si>
  <si>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</si>
  <si>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</si>
  <si>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</si>
  <si>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</si>
  <si>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</si>
  <si>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</si>
  <si>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</si>
  <si>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</si>
  <si>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</si>
  <si>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</si>
  <si>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</si>
  <si>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</si>
  <si>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</si>
  <si>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</si>
  <si>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</si>
  <si>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</si>
  <si>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</si>
  <si>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</si>
  <si>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</si>
  <si>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</si>
  <si>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</si>
  <si>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</si>
  <si>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</si>
  <si>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</si>
  <si>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</si>
  <si>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</si>
  <si>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</si>
  <si>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</si>
  <si>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</si>
  <si>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</si>
  <si>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</si>
  <si>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</si>
  <si>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</si>
  <si>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</si>
  <si>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</si>
  <si>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</si>
  <si>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</si>
  <si>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</si>
  <si>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</si>
  <si>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</si>
  <si>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</si>
  <si>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</si>
  <si>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</si>
  <si>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</si>
  <si>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</si>
  <si>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</si>
  <si>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</si>
  <si>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</si>
  <si>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</si>
  <si>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</si>
  <si>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</si>
  <si>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</si>
  <si>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</si>
  <si>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</si>
  <si>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</si>
  <si>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</si>
  <si>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</si>
  <si>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</si>
  <si>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</si>
  <si>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</si>
  <si>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</si>
  <si>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</si>
  <si>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</si>
  <si>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</si>
  <si>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</si>
  <si>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</si>
  <si>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</si>
  <si>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</si>
  <si>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</si>
  <si>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</si>
  <si>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</si>
  <si>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</si>
  <si>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</si>
  <si>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</si>
  <si>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</si>
  <si>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</si>
  <si>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</si>
  <si>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</si>
  <si>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</si>
  <si>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</si>
  <si>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</si>
  <si>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</si>
  <si>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</si>
  <si>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</si>
  <si>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</si>
  <si>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</si>
  <si>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</si>
  <si>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</si>
  <si>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</si>
  <si>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</si>
  <si>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</si>
  <si>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</si>
  <si>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</si>
  <si>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</si>
  <si>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</si>
  <si>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</si>
  <si>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</si>
  <si>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</si>
  <si>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</si>
  <si>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</si>
  <si>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</si>
  <si>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</si>
  <si>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</si>
  <si>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</si>
  <si>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</si>
  <si>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</si>
  <si>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</si>
  <si>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</si>
  <si>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</si>
  <si>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</si>
  <si>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</si>
  <si>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</si>
  <si>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</si>
  <si>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</si>
  <si>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</si>
  <si>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</si>
  <si>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</si>
  <si>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</si>
  <si>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</si>
  <si>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</si>
  <si>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</si>
  <si>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</si>
  <si>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</si>
  <si>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</si>
  <si>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</si>
  <si>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</si>
  <si>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</si>
  <si>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</si>
  <si>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</si>
  <si>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</si>
  <si>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</si>
  <si>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</si>
  <si>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</si>
  <si>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</si>
  <si>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</si>
  <si>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</si>
  <si>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</si>
  <si>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</si>
  <si>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</si>
  <si>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</si>
  <si>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</si>
  <si>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</si>
  <si>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</si>
  <si>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</si>
  <si>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</si>
  <si>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</si>
  <si>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</si>
  <si>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</si>
  <si>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</si>
  <si>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</si>
  <si>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</si>
  <si>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</si>
  <si>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</si>
  <si>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</si>
  <si>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</si>
  <si>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</si>
  <si>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</si>
  <si>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</si>
  <si>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</si>
  <si>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</si>
  <si>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</si>
  <si>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</si>
  <si>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</si>
  <si>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</si>
  <si>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</si>
  <si>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</si>
  <si>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</si>
  <si>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</si>
  <si>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</si>
  <si>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</si>
  <si>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</si>
  <si>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</si>
  <si>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</si>
  <si>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</si>
  <si>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</si>
  <si>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</si>
  <si>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</si>
  <si>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</si>
  <si>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</si>
  <si>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</si>
  <si>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</si>
  <si>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</si>
  <si>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</si>
  <si>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</si>
  <si>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</si>
  <si>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</si>
  <si>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</si>
  <si>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</si>
  <si>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</si>
  <si>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</si>
  <si>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</si>
  <si>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</si>
  <si>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</si>
  <si>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</si>
  <si>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</si>
  <si>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</si>
  <si>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</si>
  <si>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</si>
  <si>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</si>
  <si>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</si>
  <si>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</si>
  <si>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</si>
  <si>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</si>
  <si>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</si>
  <si>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</si>
  <si>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</si>
  <si>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</si>
  <si>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</si>
  <si>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</si>
  <si>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</si>
  <si>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</si>
  <si>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</si>
  <si>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</si>
  <si>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</si>
  <si>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</si>
  <si>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</si>
  <si>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</si>
  <si>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</si>
  <si>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</si>
  <si>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</si>
  <si>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</si>
  <si>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</si>
  <si>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</si>
  <si>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</si>
  <si>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</si>
  <si>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</si>
  <si>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</si>
  <si>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</si>
  <si>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</si>
  <si>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</si>
  <si>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</si>
  <si>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</si>
  <si>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</si>
  <si>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</si>
  <si>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</si>
  <si>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</si>
  <si>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</si>
  <si>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</si>
  <si>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</si>
  <si>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</si>
  <si>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</si>
  <si>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</si>
  <si>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</si>
  <si>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</si>
  <si>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</si>
  <si>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</si>
  <si>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</si>
  <si>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</si>
  <si>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</si>
  <si>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</si>
  <si>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</si>
  <si>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</si>
  <si>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</si>
  <si>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</si>
  <si>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</si>
  <si>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</si>
  <si>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</si>
  <si>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</si>
  <si>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</si>
  <si>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</si>
  <si>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</si>
  <si>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</si>
  <si>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</si>
  <si>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</si>
  <si>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</si>
  <si>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</si>
  <si>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</si>
  <si>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</si>
  <si>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</si>
  <si>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</si>
  <si>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</si>
  <si>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</si>
  <si>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</si>
  <si>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</si>
  <si>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</si>
  <si>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</si>
  <si>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</si>
  <si>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</si>
  <si>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</si>
  <si>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</si>
  <si>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</si>
  <si>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</si>
  <si>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</si>
  <si>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</si>
  <si>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</si>
  <si>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</si>
  <si>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</si>
  <si>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</si>
  <si>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</si>
  <si>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</si>
  <si>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</si>
  <si>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</si>
  <si>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</si>
  <si>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</si>
  <si>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</si>
  <si>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</si>
  <si>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</si>
  <si>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</si>
  <si>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</si>
  <si>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</si>
  <si>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</si>
  <si>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</si>
  <si>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</si>
  <si>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</si>
  <si>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</si>
  <si>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</si>
  <si>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</si>
  <si>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</si>
  <si>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</si>
  <si>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</si>
  <si>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</si>
  <si>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</si>
  <si>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</si>
  <si>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</si>
  <si>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</si>
  <si>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</si>
  <si>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</si>
  <si>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</si>
  <si>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</si>
  <si>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</si>
  <si>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</si>
  <si>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</si>
  <si>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</si>
  <si>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</si>
  <si>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</si>
  <si>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</si>
  <si>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</si>
  <si>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</si>
  <si>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</si>
  <si>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</si>
  <si>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</si>
  <si>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</si>
  <si>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</si>
  <si>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</si>
  <si>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</si>
  <si>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</si>
  <si>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</si>
  <si>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</si>
  <si>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</si>
  <si>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</si>
  <si>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</si>
  <si>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</si>
  <si>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</si>
  <si>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</si>
  <si>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</si>
  <si>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</si>
  <si>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</si>
  <si>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</si>
  <si>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</si>
  <si>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</si>
  <si>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</si>
  <si>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</si>
  <si>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</si>
  <si>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</si>
  <si>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</si>
  <si>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</si>
  <si>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</si>
  <si>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</si>
  <si>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</si>
  <si>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</si>
  <si>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</si>
  <si>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</si>
  <si>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</si>
  <si>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</si>
  <si>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</si>
  <si>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</si>
  <si>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</si>
  <si>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</si>
  <si>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</si>
  <si>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</si>
  <si>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</si>
  <si>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</si>
  <si>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</si>
  <si>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</si>
  <si>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</si>
  <si>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</si>
  <si>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</si>
  <si>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</si>
  <si>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</si>
  <si>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</si>
  <si>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</si>
  <si>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</si>
  <si>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</si>
  <si>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</si>
  <si>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</si>
  <si>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</si>
  <si>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</si>
  <si>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</si>
  <si>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</si>
  <si>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</si>
  <si>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</si>
  <si>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</si>
  <si>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</si>
  <si>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</si>
  <si>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</si>
  <si>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</si>
  <si>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</si>
  <si>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</si>
  <si>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</si>
  <si>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</si>
  <si>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</si>
  <si>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</si>
  <si>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</si>
  <si>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</si>
  <si>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</si>
  <si>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</si>
  <si>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</si>
  <si>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</si>
  <si>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</si>
  <si>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</si>
  <si>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</si>
  <si>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</si>
  <si>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</si>
  <si>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</si>
  <si>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</si>
  <si>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</si>
  <si>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</si>
  <si>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</si>
  <si>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</si>
  <si>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</si>
  <si>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</si>
  <si>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</si>
  <si>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</si>
  <si>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</si>
  <si>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</si>
  <si>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</si>
  <si>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</si>
  <si>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</si>
  <si>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</si>
  <si>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</si>
  <si>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</si>
  <si>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</si>
  <si>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</si>
  <si>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</si>
  <si>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</si>
  <si>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</si>
  <si>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</si>
  <si>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</si>
  <si>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</si>
  <si>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</si>
  <si>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</si>
  <si>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</si>
  <si>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</si>
  <si>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</si>
  <si>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</si>
  <si>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</si>
  <si>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</si>
  <si>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</si>
  <si>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</si>
  <si>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</si>
  <si>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</si>
  <si>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</si>
  <si>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</si>
  <si>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</si>
  <si>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</si>
  <si>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</si>
  <si>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</si>
  <si>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</si>
  <si>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</si>
  <si>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</si>
  <si>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</si>
  <si>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</si>
  <si>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</si>
  <si>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</si>
  <si>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</si>
  <si>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</si>
  <si>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</si>
  <si>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</si>
  <si>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</si>
  <si>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</si>
  <si>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</si>
  <si>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</si>
  <si>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</si>
  <si>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</si>
  <si>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</si>
  <si>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</si>
  <si>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</si>
  <si>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</si>
  <si>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</si>
  <si>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</si>
  <si>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</si>
  <si>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</si>
  <si>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</si>
  <si>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</si>
  <si>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</si>
  <si>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</si>
  <si>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</si>
  <si>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</si>
  <si>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</si>
  <si>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</si>
  <si>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</si>
  <si>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</si>
  <si>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</si>
  <si>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</si>
  <si>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</si>
  <si>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</si>
  <si>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</si>
  <si>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</si>
  <si>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</si>
  <si>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</si>
  <si>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</si>
  <si>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</si>
  <si>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</si>
  <si>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</si>
  <si>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</si>
  <si>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</si>
  <si>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</si>
  <si>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</si>
  <si>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</si>
  <si>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</si>
  <si>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</si>
  <si>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</si>
  <si>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</si>
  <si>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</si>
  <si>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</si>
  <si>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</si>
  <si>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</si>
  <si>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</si>
  <si>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</si>
  <si>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</si>
  <si>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</si>
  <si>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</si>
  <si>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</si>
  <si>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</si>
  <si>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</si>
  <si>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</si>
  <si>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</si>
  <si>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</si>
  <si>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</si>
  <si>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</si>
  <si>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</si>
  <si>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</si>
  <si>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</si>
  <si>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</si>
  <si>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</si>
  <si>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</si>
  <si>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</si>
  <si>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</si>
  <si>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</si>
  <si>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</si>
  <si>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</si>
  <si>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</si>
  <si>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</si>
  <si>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</si>
  <si>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</si>
  <si>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</si>
  <si>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</si>
  <si>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</si>
  <si>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</si>
  <si>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</si>
  <si>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</si>
  <si>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</si>
  <si>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</si>
  <si>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</si>
  <si>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</si>
  <si>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</si>
  <si>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</si>
  <si>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</si>
  <si>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</si>
  <si>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</si>
  <si>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</si>
  <si>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</si>
  <si>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</si>
  <si>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</si>
  <si>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</si>
  <si>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</si>
  <si>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</si>
  <si>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</si>
  <si>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</si>
  <si>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</si>
  <si>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</si>
  <si>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</si>
  <si>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</si>
  <si>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</si>
  <si>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</si>
  <si>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</si>
  <si>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</si>
  <si>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</si>
  <si>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</si>
  <si>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</si>
  <si>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</si>
  <si>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</si>
  <si>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</si>
  <si>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</si>
  <si>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</si>
  <si>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</si>
  <si>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</si>
  <si>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</si>
  <si>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</si>
  <si>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</si>
  <si>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</si>
  <si>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</si>
  <si>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</si>
  <si>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</si>
  <si>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</si>
  <si>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</si>
  <si>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</si>
  <si>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</si>
  <si>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</si>
  <si>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</si>
  <si>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</si>
  <si>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</si>
  <si>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</si>
  <si>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</si>
  <si>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</si>
  <si>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</si>
  <si>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</si>
  <si>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</si>
  <si>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</si>
  <si>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</si>
  <si>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</si>
  <si>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</si>
  <si>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</si>
  <si>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</si>
  <si>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</si>
  <si>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</si>
  <si>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</si>
  <si>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</si>
  <si>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</si>
  <si>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</si>
  <si>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</si>
  <si>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</si>
  <si>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</si>
  <si>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</si>
  <si>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</si>
  <si>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</si>
  <si>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</si>
  <si>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</si>
  <si>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</si>
  <si>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</si>
  <si>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</si>
  <si>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</si>
  <si>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</si>
  <si>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</si>
  <si>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</si>
  <si>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</si>
  <si>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</si>
  <si>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</si>
  <si>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</si>
  <si>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</si>
  <si>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</si>
  <si>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</si>
  <si>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</si>
  <si>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</si>
  <si>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</si>
  <si>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</si>
  <si>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</si>
  <si>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</si>
  <si>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</si>
  <si>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</si>
  <si>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</si>
  <si>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</si>
  <si>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</si>
  <si>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</si>
  <si>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</si>
  <si>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</si>
  <si>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</si>
  <si>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</si>
  <si>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</si>
  <si>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</si>
  <si>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</si>
  <si>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</si>
  <si>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</si>
  <si>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</si>
  <si>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</si>
  <si>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</si>
  <si>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</si>
  <si>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</si>
  <si>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</si>
  <si>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</si>
  <si>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</si>
  <si>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</si>
  <si>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</si>
  <si>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</si>
  <si>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</si>
  <si>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</si>
  <si>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</si>
  <si>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</si>
  <si>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</si>
  <si>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</si>
  <si>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</si>
  <si>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</si>
  <si>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</si>
  <si>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</si>
  <si>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</si>
  <si>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</si>
  <si>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</si>
  <si>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</si>
  <si>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</si>
  <si>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</si>
  <si>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</si>
  <si>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</si>
  <si>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</si>
  <si>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</si>
  <si>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</si>
  <si>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</si>
  <si>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</si>
  <si>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</si>
  <si>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</si>
  <si>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</si>
  <si>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</si>
  <si>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</si>
  <si>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</si>
  <si>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</si>
  <si>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</si>
  <si>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</si>
  <si>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</si>
  <si>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</si>
  <si>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</si>
  <si>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</si>
  <si>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</si>
  <si>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</si>
  <si>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</si>
  <si>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</si>
  <si>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</si>
  <si>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</si>
  <si>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</si>
  <si>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</si>
  <si>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</si>
  <si>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</si>
  <si>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</si>
  <si>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</si>
  <si>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</si>
  <si>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</si>
  <si>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</si>
  <si>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</si>
  <si>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</si>
  <si>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</si>
  <si>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</si>
  <si>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</si>
  <si>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</si>
  <si>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</si>
  <si>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</si>
  <si>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</si>
  <si>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</si>
  <si>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</si>
  <si>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</si>
  <si>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</si>
  <si>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</si>
  <si>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</si>
  <si>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</si>
  <si>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</si>
  <si>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</si>
  <si>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</si>
  <si>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</si>
  <si>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</si>
  <si>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</si>
  <si>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</si>
  <si>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</si>
  <si>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</si>
  <si>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</si>
  <si>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</si>
  <si>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</si>
  <si>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</si>
  <si>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</si>
  <si>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</si>
  <si>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</si>
  <si>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</si>
  <si>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</si>
  <si>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</si>
  <si>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</si>
  <si>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</si>
  <si>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</si>
  <si>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</si>
  <si>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</si>
  <si>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</si>
  <si>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</si>
  <si>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</si>
  <si>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</si>
  <si>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</si>
  <si>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</si>
  <si>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</si>
  <si>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</si>
  <si>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</si>
  <si>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</si>
  <si>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</si>
  <si>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</si>
  <si>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</si>
  <si>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</si>
  <si>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</si>
  <si>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</si>
  <si>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</si>
  <si>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</si>
  <si>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</si>
  <si>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</si>
  <si>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</si>
  <si>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</si>
  <si>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</si>
  <si>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</si>
  <si>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</si>
  <si>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</si>
  <si>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</si>
  <si>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</si>
  <si>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</si>
  <si>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</si>
  <si>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</si>
  <si>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</si>
  <si>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</si>
  <si>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</si>
  <si>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</si>
  <si>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</si>
  <si>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</si>
  <si>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</si>
  <si>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</si>
  <si>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</si>
  <si>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</si>
  <si>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</si>
  <si>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</si>
  <si>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</si>
  <si>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</si>
  <si>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</si>
  <si>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</si>
  <si>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</si>
  <si>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</si>
  <si>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</si>
  <si>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</si>
  <si>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</si>
  <si>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</si>
  <si>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</si>
  <si>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</si>
  <si>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</si>
  <si>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</si>
  <si>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</si>
  <si>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</si>
  <si>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</si>
  <si>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</si>
  <si>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</si>
  <si>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</si>
  <si>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</si>
  <si>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</si>
  <si>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</si>
  <si>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</si>
  <si>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</si>
  <si>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</si>
  <si>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</si>
  <si>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</si>
  <si>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</si>
  <si>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</si>
  <si>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</si>
  <si>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</si>
  <si>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</si>
  <si>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</si>
  <si>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</si>
  <si>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</si>
  <si>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</si>
  <si>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</si>
  <si>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</si>
  <si>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</si>
  <si>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</si>
  <si>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</si>
  <si>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</si>
  <si>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</si>
  <si>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</si>
  <si>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</si>
  <si>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</si>
  <si>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</si>
  <si>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</si>
  <si>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</si>
  <si>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</si>
  <si>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</si>
  <si>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</si>
  <si>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</si>
  <si>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</si>
  <si>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</si>
  <si>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</si>
  <si>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</si>
  <si>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</si>
  <si>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</si>
  <si>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</si>
  <si>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</si>
  <si>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</si>
  <si>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</si>
  <si>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</si>
  <si>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</si>
  <si>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</si>
  <si>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</si>
  <si>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</si>
  <si>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</si>
  <si>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</si>
  <si>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</si>
  <si>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</si>
  <si>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</si>
  <si>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</si>
  <si>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</si>
  <si>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</si>
  <si>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</si>
  <si>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</si>
  <si>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</si>
  <si>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</si>
  <si>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</si>
  <si>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</si>
  <si>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</si>
  <si>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</si>
  <si>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</si>
  <si>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</si>
  <si>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</si>
  <si>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</si>
  <si>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</si>
  <si>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</si>
  <si>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</si>
  <si>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</si>
  <si>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</si>
  <si>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</si>
  <si>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</si>
  <si>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</si>
  <si>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</si>
  <si>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</si>
  <si>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</si>
  <si>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</si>
  <si>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</si>
  <si>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</si>
  <si>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</si>
  <si>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</si>
  <si>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</si>
  <si>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</si>
  <si>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</si>
  <si>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</si>
  <si>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</si>
  <si>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</si>
  <si>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</si>
  <si>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</si>
  <si>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</si>
  <si>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</si>
  <si>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</si>
  <si>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</si>
  <si>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</si>
  <si>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</si>
  <si>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</si>
  <si>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</si>
  <si>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</si>
  <si>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</si>
  <si>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</si>
  <si>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</si>
  <si>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</si>
  <si>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</si>
  <si>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</si>
  <si>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</si>
  <si>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</si>
  <si>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</si>
  <si>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</si>
  <si>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</si>
  <si>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</si>
  <si>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</si>
  <si>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</si>
  <si>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</si>
  <si>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</si>
  <si>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</si>
  <si>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</si>
  <si>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</si>
  <si>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</si>
  <si>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</si>
  <si>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</si>
  <si>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</si>
  <si>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</si>
  <si>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</si>
  <si>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</si>
  <si>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</si>
  <si>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</si>
  <si>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</si>
  <si>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</si>
  <si>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</si>
  <si>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</si>
  <si>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</si>
  <si>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</si>
  <si>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</si>
  <si>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</si>
  <si>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</si>
  <si>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</si>
  <si>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</si>
  <si>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</si>
  <si>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</si>
  <si>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</si>
  <si>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</si>
  <si>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</si>
  <si>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</si>
  <si>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</si>
  <si>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</si>
  <si>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</si>
  <si>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</si>
  <si>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</si>
  <si>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</si>
  <si>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</si>
  <si>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</si>
  <si>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</si>
  <si>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</si>
  <si>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</si>
  <si>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</si>
  <si>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</si>
  <si>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</si>
  <si>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</si>
  <si>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</si>
  <si>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</si>
  <si>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</si>
  <si>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</si>
  <si>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</si>
  <si>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</si>
  <si>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</si>
  <si>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</si>
  <si>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</si>
  <si>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</si>
  <si>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</si>
  <si>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</si>
  <si>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</si>
  <si>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</si>
  <si>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</si>
  <si>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</si>
  <si>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</si>
  <si>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</si>
  <si>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</si>
  <si>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</si>
  <si>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</si>
  <si>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</si>
  <si>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</si>
  <si>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</si>
  <si>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</si>
  <si>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</si>
  <si>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</si>
  <si>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</si>
  <si>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</si>
  <si>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</si>
  <si>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</si>
  <si>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</si>
  <si>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</si>
  <si>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</si>
  <si>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</si>
  <si>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</si>
  <si>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</si>
  <si>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</si>
  <si>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</si>
  <si>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</si>
  <si>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</si>
  <si>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</si>
  <si>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</si>
  <si>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</si>
  <si>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</si>
  <si>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</si>
  <si>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</si>
  <si>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</si>
  <si>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</si>
  <si>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</si>
  <si>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</si>
  <si>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</si>
  <si>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</si>
  <si>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</si>
  <si>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</si>
  <si>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</si>
  <si>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</si>
  <si>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</si>
  <si>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</si>
  <si>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</si>
  <si>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</si>
  <si>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</si>
  <si>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</si>
  <si>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</si>
  <si>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</si>
  <si>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</si>
  <si>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</si>
  <si>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</si>
  <si>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</si>
  <si>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</si>
  <si>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</si>
  <si>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</si>
  <si>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</si>
  <si>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</si>
  <si>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</si>
  <si>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</si>
  <si>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</si>
  <si>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</si>
  <si>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</si>
  <si>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</si>
  <si>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</si>
  <si>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</si>
  <si>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</si>
  <si>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</si>
  <si>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</si>
  <si>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</si>
  <si>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</si>
  <si>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</si>
  <si>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</si>
  <si>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</si>
  <si>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</si>
  <si>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</si>
  <si>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</si>
  <si>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</si>
  <si>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</si>
  <si>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</si>
  <si>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</si>
  <si>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</si>
  <si>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</si>
  <si>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</si>
  <si>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</si>
  <si>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</si>
  <si>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</si>
  <si>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</si>
  <si>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</si>
  <si>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</si>
  <si>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</si>
  <si>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</si>
  <si>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</si>
  <si>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</si>
  <si>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</si>
  <si>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</si>
  <si>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</si>
  <si>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</si>
  <si>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</si>
  <si>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</si>
  <si>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</si>
  <si>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</si>
  <si>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</si>
  <si>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</si>
  <si>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</si>
  <si>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</si>
  <si>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</si>
  <si>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</si>
  <si>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</si>
  <si>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</si>
  <si>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</si>
  <si>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</si>
  <si>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</si>
  <si>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</si>
  <si>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</si>
  <si>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</si>
  <si>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</si>
  <si>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</si>
  <si>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</si>
  <si>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</si>
  <si>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</si>
  <si>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</si>
  <si>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</si>
  <si>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</si>
  <si>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</si>
  <si>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</si>
  <si>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</si>
  <si>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</si>
  <si>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</si>
  <si>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</si>
  <si>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</si>
  <si>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</si>
  <si>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</si>
  <si>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</si>
  <si>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</si>
  <si>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</si>
  <si>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</si>
  <si>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</si>
  <si>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</si>
  <si>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</si>
  <si>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</si>
  <si>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</si>
  <si>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</si>
  <si>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</si>
  <si>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</si>
  <si>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</si>
  <si>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</si>
  <si>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</si>
  <si>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</si>
  <si>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</si>
  <si>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</si>
  <si>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</si>
  <si>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</si>
  <si>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</si>
  <si>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</si>
  <si>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</si>
  <si>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</si>
  <si>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</si>
  <si>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</si>
  <si>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</si>
  <si>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</si>
  <si>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</si>
  <si>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</si>
  <si>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</si>
  <si>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</si>
  <si>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</si>
  <si>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</si>
  <si>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</si>
  <si>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</si>
  <si>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</si>
  <si>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</si>
  <si>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</si>
  <si>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</si>
  <si>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</si>
  <si>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</si>
  <si>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</si>
  <si>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</si>
  <si>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</si>
  <si>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</si>
  <si>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</si>
  <si>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</si>
  <si>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</si>
  <si>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</si>
  <si>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</si>
  <si>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</si>
  <si>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</si>
  <si>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</si>
  <si>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</si>
  <si>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</si>
  <si>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</si>
  <si>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</si>
  <si>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</si>
  <si>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</si>
  <si>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</si>
  <si>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</si>
  <si>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</si>
  <si>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</si>
  <si>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</si>
  <si>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</si>
  <si>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</si>
  <si>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</si>
  <si>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</si>
  <si>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</si>
  <si>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</si>
  <si>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</si>
  <si>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</si>
  <si>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</si>
  <si>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</si>
  <si>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</si>
  <si>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</si>
  <si>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</si>
  <si>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</si>
  <si>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</si>
  <si>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</si>
  <si>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</si>
  <si>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</si>
  <si>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</si>
  <si>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</si>
  <si>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</si>
  <si>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</si>
  <si>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</si>
  <si>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</si>
  <si>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</si>
  <si>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</si>
  <si>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</si>
  <si>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</si>
  <si>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</si>
  <si>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</si>
  <si>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</si>
  <si>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</si>
  <si>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</si>
  <si>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</si>
  <si>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</si>
  <si>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</si>
  <si>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</si>
  <si>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</si>
  <si>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</si>
  <si>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</si>
  <si>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</si>
  <si>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</si>
  <si>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</si>
  <si>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</si>
  <si>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</si>
  <si>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</si>
  <si>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</si>
  <si>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</si>
  <si>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</si>
  <si>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</si>
  <si>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</si>
  <si>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</si>
  <si>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</si>
  <si>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</si>
  <si>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</si>
  <si>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</si>
  <si>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</si>
  <si>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</si>
  <si>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</si>
  <si>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</si>
  <si>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</si>
  <si>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</si>
  <si>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</si>
  <si>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</si>
  <si>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</si>
  <si>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</si>
  <si>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</si>
  <si>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</si>
  <si>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</si>
  <si>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</si>
  <si>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</si>
  <si>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</si>
  <si>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</si>
  <si>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</si>
  <si>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</si>
  <si>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</si>
  <si>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</si>
  <si>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</si>
  <si>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</si>
  <si>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</si>
  <si>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</si>
  <si>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</si>
  <si>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</si>
  <si>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</si>
  <si>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</si>
  <si>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</si>
  <si>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</si>
  <si>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</si>
  <si>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</si>
  <si>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</si>
  <si>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</si>
  <si>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</si>
  <si>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</si>
  <si>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</si>
  <si>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</si>
  <si>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</si>
  <si>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</si>
  <si>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</si>
  <si>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</si>
  <si>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</si>
  <si>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</si>
  <si>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</si>
  <si>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</si>
  <si>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</si>
  <si>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</si>
  <si>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</si>
  <si>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</si>
  <si>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</si>
  <si>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</si>
  <si>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</si>
  <si>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</si>
  <si>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</si>
  <si>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</si>
  <si>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</si>
  <si>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</si>
  <si>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</si>
  <si>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</si>
  <si>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</si>
  <si>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</si>
  <si>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</si>
  <si>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</si>
  <si>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</si>
  <si>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</si>
  <si>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</si>
  <si>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</si>
  <si>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</si>
  <si>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</si>
  <si>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</si>
  <si>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</si>
  <si>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</si>
  <si>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</si>
  <si>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</si>
  <si>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</si>
  <si>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</si>
  <si>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</si>
  <si>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</si>
  <si>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</si>
  <si>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</si>
  <si>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</si>
  <si>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</si>
  <si>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</si>
  <si>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</si>
  <si>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</si>
  <si>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</si>
  <si>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</si>
  <si>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</si>
  <si>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</si>
  <si>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</si>
  <si>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</si>
  <si>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</si>
  <si>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</si>
  <si>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</si>
  <si>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</si>
  <si>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</si>
  <si>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</si>
  <si>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</si>
  <si>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</si>
  <si>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</si>
  <si>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</si>
  <si>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</si>
  <si>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</si>
  <si>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</si>
  <si>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</si>
  <si>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</si>
  <si>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</si>
  <si>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</si>
  <si>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</si>
  <si>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</si>
  <si>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</si>
  <si>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</si>
  <si>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</si>
  <si>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</si>
  <si>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</si>
  <si>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</si>
  <si>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</si>
  <si>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</si>
  <si>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</si>
  <si>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</si>
  <si>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</si>
  <si>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</si>
  <si>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</si>
  <si>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</si>
  <si>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</si>
  <si>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</si>
  <si>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</si>
  <si>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</si>
  <si>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</si>
  <si>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</si>
  <si>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</si>
  <si>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</si>
  <si>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</si>
  <si>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</si>
  <si>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</si>
  <si>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</si>
  <si>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</si>
  <si>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</si>
  <si>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</si>
  <si>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</si>
  <si>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</si>
  <si>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</si>
  <si>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</si>
  <si>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</si>
  <si>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</si>
  <si>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</si>
  <si>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</si>
  <si>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</si>
  <si>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</si>
  <si>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</si>
  <si>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</si>
  <si>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</si>
  <si>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</si>
  <si>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</si>
  <si>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</si>
  <si>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</si>
  <si>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</si>
  <si>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</si>
  <si>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</si>
  <si>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</si>
  <si>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</si>
  <si>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</si>
  <si>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</si>
  <si>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</si>
  <si>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</si>
  <si>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</si>
  <si>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</si>
  <si>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</si>
  <si>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</si>
  <si>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</si>
  <si>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</si>
  <si>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</si>
  <si>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</si>
  <si>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</si>
  <si>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</si>
  <si>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</si>
  <si>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</si>
  <si>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</si>
  <si>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</si>
  <si>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</si>
  <si>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</si>
  <si>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</si>
  <si>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</si>
  <si>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</si>
  <si>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</si>
  <si>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</si>
  <si>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</si>
  <si>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</si>
  <si>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</si>
  <si>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</si>
  <si>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</si>
  <si>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</si>
  <si>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</si>
  <si>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</si>
  <si>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</si>
  <si>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</si>
  <si>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</si>
  <si>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</si>
  <si>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</si>
  <si>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</si>
  <si>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</si>
  <si>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</si>
  <si>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</si>
  <si>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</si>
  <si>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</si>
  <si>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</si>
  <si>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</si>
  <si>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</si>
  <si>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</si>
  <si>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</si>
  <si>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</si>
  <si>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</si>
  <si>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</si>
  <si>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</si>
  <si>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</si>
  <si>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</si>
  <si>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</si>
  <si>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</si>
  <si>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</si>
  <si>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</si>
  <si>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</si>
  <si>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</si>
  <si>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</si>
  <si>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</si>
  <si>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</si>
  <si>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</si>
  <si>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</si>
  <si>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</si>
  <si>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</si>
  <si>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</si>
  <si>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</si>
  <si>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</si>
  <si>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</si>
  <si>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</si>
  <si>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</si>
  <si>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</si>
  <si>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</si>
  <si>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</si>
  <si>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</si>
  <si>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</si>
  <si>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</si>
  <si>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</si>
  <si>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</si>
  <si>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</si>
  <si>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</si>
  <si>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</si>
  <si>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</si>
  <si>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</si>
  <si>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</si>
  <si>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</si>
  <si>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</si>
  <si>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</si>
  <si>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</si>
  <si>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</si>
  <si>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</si>
  <si>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</si>
  <si>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</si>
  <si>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</si>
  <si>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</si>
  <si>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</si>
  <si>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</si>
  <si>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</si>
  <si>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</si>
  <si>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</si>
  <si>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</si>
  <si>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</si>
  <si>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</si>
  <si>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</si>
  <si>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</si>
  <si>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</si>
  <si>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</si>
  <si>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</si>
  <si>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</si>
  <si>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</si>
  <si>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</si>
  <si>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</si>
  <si>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</si>
  <si>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</si>
  <si>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</si>
  <si>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</si>
  <si>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</si>
  <si>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</si>
  <si>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</si>
  <si>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</si>
  <si>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</si>
  <si>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</si>
  <si>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</si>
  <si>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</si>
  <si>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</si>
  <si>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</si>
  <si>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</si>
  <si>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</si>
  <si>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</si>
  <si>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</si>
  <si>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</si>
  <si>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</si>
  <si>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</si>
  <si>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</si>
  <si>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</si>
  <si>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</si>
  <si>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</si>
  <si>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</si>
  <si>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</si>
  <si>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</si>
  <si>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</si>
  <si>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</si>
  <si>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</si>
  <si>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</si>
  <si>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</si>
  <si>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</si>
  <si>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</si>
  <si>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</si>
  <si>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</si>
  <si>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</si>
  <si>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</si>
  <si>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</si>
  <si>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</si>
  <si>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</si>
  <si>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</si>
  <si>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</si>
  <si>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</si>
  <si>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</si>
  <si>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</si>
  <si>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</si>
  <si>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</si>
  <si>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</si>
  <si>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</si>
  <si>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</si>
  <si>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</si>
  <si>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</si>
  <si>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</si>
  <si>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</si>
  <si>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</si>
  <si>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</si>
  <si>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</si>
  <si>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</si>
  <si>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</si>
  <si>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</si>
  <si>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</si>
  <si>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</si>
  <si>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</si>
  <si>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</si>
  <si>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</si>
  <si>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</si>
  <si>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</si>
  <si>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</si>
  <si>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</si>
  <si>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</si>
  <si>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</si>
  <si>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</si>
  <si>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</si>
  <si>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</si>
  <si>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</si>
  <si>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</si>
  <si>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</si>
  <si>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</si>
  <si>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</si>
  <si>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</si>
  <si>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</si>
  <si>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</si>
  <si>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</si>
  <si>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</si>
  <si>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</si>
  <si>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</si>
  <si>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</si>
  <si>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</si>
  <si>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</si>
  <si>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</si>
  <si>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</si>
  <si>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</si>
  <si>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</si>
  <si>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</si>
  <si>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</si>
  <si>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</si>
  <si>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</si>
  <si>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</si>
  <si>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</si>
  <si>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</si>
  <si>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</si>
  <si>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</si>
  <si>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</si>
  <si>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</si>
  <si>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</si>
  <si>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</si>
  <si>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</si>
  <si>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</si>
  <si>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</si>
  <si>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</si>
  <si>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</si>
  <si>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</si>
  <si>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</si>
  <si>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</si>
  <si>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</si>
  <si>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</si>
  <si>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</si>
  <si>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</si>
  <si>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</si>
  <si>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</si>
  <si>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</si>
  <si>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</si>
  <si>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</si>
  <si>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</si>
  <si>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</si>
  <si>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</si>
  <si>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</si>
  <si>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</si>
  <si>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</si>
  <si>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</si>
  <si>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</si>
  <si>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</si>
  <si>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</si>
  <si>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</si>
  <si>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</si>
  <si>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</si>
  <si>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</si>
  <si>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</si>
  <si>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</si>
  <si>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</si>
  <si>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</si>
  <si>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</si>
  <si>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</si>
  <si>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</si>
  <si>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</si>
  <si>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</si>
  <si>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</si>
  <si>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</si>
  <si>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</si>
  <si>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</si>
  <si>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</si>
  <si>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</si>
  <si>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</si>
  <si>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</si>
  <si>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</si>
  <si>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</si>
  <si>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</si>
  <si>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</si>
  <si>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</si>
  <si>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</si>
  <si>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</si>
  <si>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</si>
  <si>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</si>
  <si>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</si>
  <si>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</si>
  <si>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</si>
  <si>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</si>
  <si>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</si>
  <si>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</si>
  <si>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</si>
  <si>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</si>
  <si>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</si>
  <si>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</si>
  <si>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</si>
  <si>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</si>
  <si>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</si>
  <si>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</si>
  <si>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</si>
  <si>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</si>
  <si>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</si>
  <si>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</si>
  <si>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</si>
  <si>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</si>
  <si>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</si>
  <si>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</si>
  <si>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</si>
  <si>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</si>
  <si>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</si>
  <si>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</si>
  <si>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</si>
  <si>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</si>
  <si>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</si>
  <si>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</si>
  <si>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</si>
  <si>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</si>
  <si>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</si>
  <si>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</si>
  <si>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</si>
  <si>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</si>
  <si>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</si>
  <si>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</si>
  <si>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</si>
  <si>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</si>
  <si>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</si>
  <si>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</si>
  <si>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</si>
  <si>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</si>
  <si>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</si>
  <si>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</si>
  <si>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</si>
  <si>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</si>
  <si>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</si>
  <si>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</si>
  <si>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</si>
  <si>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</si>
  <si>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</si>
  <si>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</si>
  <si>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</si>
  <si>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</si>
  <si>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</si>
  <si>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</si>
  <si>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</si>
  <si>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</si>
  <si>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</si>
  <si>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</si>
  <si>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</si>
  <si>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</si>
  <si>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</si>
  <si>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</si>
  <si>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</si>
  <si>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</si>
  <si>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</si>
  <si>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</si>
  <si>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</si>
  <si>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</si>
  <si>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</si>
  <si>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</si>
  <si>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</si>
  <si>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</si>
  <si>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</si>
  <si>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</si>
  <si>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</si>
  <si>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</si>
  <si>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</si>
  <si>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</si>
  <si>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</si>
  <si>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</si>
  <si>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</si>
  <si>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</si>
  <si>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</si>
  <si>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</si>
  <si>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</si>
  <si>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</si>
  <si>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</si>
  <si>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</si>
  <si>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</si>
  <si>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</si>
  <si>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</si>
  <si>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</si>
  <si>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</si>
  <si>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</si>
  <si>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</si>
  <si>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</si>
  <si>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</si>
  <si>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</si>
  <si>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</si>
  <si>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</si>
  <si>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</si>
  <si>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</si>
  <si>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</si>
  <si>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</si>
  <si>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</si>
  <si>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</si>
  <si>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</si>
  <si>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</si>
  <si>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</si>
  <si>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</si>
  <si>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</si>
  <si>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</si>
  <si>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</si>
  <si>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</si>
  <si>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</si>
  <si>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</si>
  <si>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</si>
  <si>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</si>
  <si>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</si>
  <si>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</si>
  <si>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</si>
  <si>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</si>
  <si>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</si>
  <si>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</si>
  <si>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</si>
  <si>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</si>
  <si>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</si>
  <si>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</si>
  <si>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</si>
  <si>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</si>
  <si>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</si>
  <si>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</si>
  <si>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</si>
  <si>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</si>
  <si>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</si>
  <si>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</si>
  <si>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</si>
  <si>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</si>
  <si>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</si>
  <si>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</si>
  <si>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</si>
  <si>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</si>
  <si>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</si>
  <si>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</si>
  <si>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</si>
  <si>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</si>
  <si>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</si>
  <si>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</si>
  <si>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</si>
  <si>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</si>
  <si>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</si>
  <si>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</si>
  <si>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</si>
  <si>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</si>
  <si>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</si>
  <si>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</si>
  <si>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</si>
  <si>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</si>
  <si>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</si>
  <si>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</si>
  <si>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</si>
  <si>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</si>
  <si>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</si>
  <si>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</si>
  <si>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</si>
  <si>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</si>
  <si>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</si>
  <si>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</si>
  <si>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</si>
  <si>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</si>
  <si>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</si>
  <si>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</si>
  <si>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</si>
  <si>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</si>
  <si>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</si>
  <si>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</si>
  <si>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</si>
  <si>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</si>
  <si>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</si>
  <si>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</si>
  <si>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</si>
  <si>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</si>
  <si>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</si>
  <si>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</si>
  <si>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</si>
  <si>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</si>
  <si>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</si>
  <si>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</si>
  <si>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</si>
  <si>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</si>
  <si>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</si>
  <si>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</si>
  <si>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</si>
  <si>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</si>
  <si>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</si>
  <si>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</si>
  <si>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</si>
  <si>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</si>
  <si>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</si>
  <si>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</si>
  <si>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</si>
  <si>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</si>
  <si>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</si>
  <si>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</si>
  <si>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</si>
  <si>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</si>
  <si>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</si>
  <si>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</si>
  <si>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</si>
  <si>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</si>
  <si>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</si>
  <si>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</si>
  <si>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</si>
  <si>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</si>
  <si>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</si>
  <si>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</si>
  <si>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</si>
  <si>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</si>
  <si>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</si>
  <si>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</si>
  <si>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</si>
  <si>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</si>
  <si>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</si>
  <si>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</si>
  <si>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</si>
  <si>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</si>
  <si>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</si>
  <si>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</si>
  <si>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</si>
  <si>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</si>
  <si>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</si>
  <si>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</si>
  <si>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</si>
  <si>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</si>
  <si>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</si>
  <si>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</si>
  <si>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</si>
  <si>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</si>
  <si>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</si>
  <si>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</si>
  <si>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</si>
  <si>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</si>
  <si>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</si>
  <si>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</si>
  <si>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</si>
  <si>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</si>
  <si>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</si>
  <si>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</si>
  <si>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</si>
  <si>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</si>
  <si>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</si>
  <si>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</si>
  <si>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</si>
  <si>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</si>
  <si>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</si>
  <si>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</si>
  <si>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</si>
  <si>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</si>
  <si>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</si>
  <si>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</si>
  <si>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</si>
  <si>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</si>
  <si>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</si>
  <si>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</si>
  <si>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</si>
  <si>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</si>
  <si>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</si>
  <si>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</si>
  <si>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</si>
  <si>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</si>
  <si>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</si>
  <si>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</si>
  <si>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</si>
  <si>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</si>
  <si>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</si>
  <si>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</si>
  <si>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</si>
  <si>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</si>
  <si>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</si>
  <si>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</si>
  <si>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</si>
  <si>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</si>
  <si>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</si>
  <si>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</si>
  <si>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</si>
  <si>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</si>
  <si>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</si>
  <si>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</si>
  <si>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</si>
  <si>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</si>
  <si>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</si>
  <si>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</si>
  <si>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</si>
  <si>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</si>
  <si>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</si>
  <si>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</si>
  <si>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</si>
  <si>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</si>
  <si>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</si>
  <si>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</si>
  <si>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</si>
  <si>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</si>
  <si>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</si>
  <si>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</si>
  <si>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</si>
  <si>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</si>
  <si>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</si>
  <si>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</si>
  <si>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</si>
  <si>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</si>
  <si>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</si>
  <si>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</si>
  <si>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</si>
  <si>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</si>
  <si>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</si>
  <si>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</si>
  <si>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</si>
  <si>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</si>
  <si>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</si>
  <si>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</si>
  <si>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</si>
  <si>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</si>
  <si>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</si>
  <si>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</si>
  <si>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</si>
  <si>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</si>
  <si>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</si>
  <si>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</si>
  <si>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</si>
  <si>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</si>
  <si>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</si>
  <si>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</si>
  <si>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</si>
  <si>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</si>
  <si>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</si>
  <si>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</si>
  <si>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</si>
  <si>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</si>
  <si>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</si>
  <si>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</si>
  <si>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</si>
  <si>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</si>
  <si>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</si>
  <si>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</si>
  <si>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</si>
  <si>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</si>
  <si>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</si>
  <si>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</si>
  <si>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</si>
  <si>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</si>
  <si>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</si>
  <si>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</si>
  <si>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</si>
  <si>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</si>
  <si>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</si>
  <si>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</si>
  <si>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</si>
  <si>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</si>
  <si>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</si>
  <si>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</si>
  <si>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</si>
  <si>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</si>
  <si>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</si>
  <si>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</si>
  <si>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</si>
  <si>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</si>
  <si>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</si>
  <si>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</si>
  <si>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</si>
  <si>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</si>
  <si>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</si>
  <si>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</si>
  <si>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</si>
  <si>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</si>
  <si>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</si>
  <si>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</si>
  <si>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</si>
  <si>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</si>
  <si>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</si>
  <si>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</si>
  <si>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</si>
  <si>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</si>
  <si>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</si>
  <si>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</si>
  <si>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</si>
  <si>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</si>
  <si>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</si>
  <si>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</si>
  <si>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</si>
  <si>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</si>
  <si>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</si>
  <si>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</si>
  <si>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</si>
  <si>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</si>
  <si>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</si>
  <si>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</si>
  <si>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</si>
  <si>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</si>
  <si>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</si>
  <si>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</si>
  <si>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</si>
  <si>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</si>
  <si>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</si>
  <si>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</si>
  <si>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</si>
  <si>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</si>
  <si>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</si>
  <si>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</si>
  <si>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</si>
  <si>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</si>
  <si>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</si>
  <si>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</si>
  <si>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</si>
  <si>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</si>
  <si>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</si>
  <si>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</si>
  <si>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</si>
  <si>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</si>
  <si>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</si>
  <si>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</si>
  <si>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</si>
  <si>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</si>
  <si>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</si>
  <si>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</si>
  <si>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</si>
  <si>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</si>
  <si>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</si>
  <si>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</si>
  <si>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</si>
  <si>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</si>
  <si>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</si>
  <si>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</si>
  <si>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</si>
  <si>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</si>
  <si>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</si>
  <si>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</si>
  <si>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</si>
  <si>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</si>
  <si>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</si>
  <si>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</si>
  <si>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</si>
  <si>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</si>
  <si>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</si>
  <si>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</si>
  <si>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</si>
  <si>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</si>
  <si>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</si>
  <si>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</si>
  <si>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</si>
  <si>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</si>
  <si>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</si>
  <si>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</si>
  <si>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</si>
  <si>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</si>
  <si>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</si>
  <si>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</si>
  <si>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</si>
  <si>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</si>
  <si>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</si>
  <si>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</si>
  <si>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</si>
  <si>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</si>
  <si>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</si>
  <si>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</si>
  <si>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</si>
  <si>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</si>
  <si>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</si>
  <si>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</si>
  <si>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</si>
  <si>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</si>
  <si>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</si>
  <si>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</si>
  <si>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</si>
  <si>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</si>
  <si>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</si>
  <si>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</si>
  <si>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</si>
  <si>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</si>
  <si>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</si>
  <si>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</si>
  <si>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</si>
  <si>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</si>
  <si>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</si>
  <si>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</si>
  <si>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</si>
  <si>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</si>
  <si>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</si>
  <si>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</si>
  <si>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</si>
  <si>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</si>
  <si>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</si>
  <si>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</si>
  <si>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</si>
  <si>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</si>
  <si>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</si>
  <si>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</si>
  <si>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</si>
  <si>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</si>
  <si>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</si>
  <si>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</si>
  <si>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</si>
  <si>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</si>
  <si>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</si>
  <si>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</si>
  <si>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</si>
  <si>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</si>
  <si>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</si>
  <si>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</si>
  <si>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</si>
  <si>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</si>
  <si>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</si>
  <si>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</si>
  <si>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</si>
  <si>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</si>
  <si>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</si>
  <si>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</si>
  <si>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</si>
  <si>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</si>
  <si>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</si>
  <si>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</si>
  <si>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</si>
  <si>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</si>
  <si>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</si>
  <si>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</si>
  <si>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</si>
  <si>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</si>
  <si>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</si>
  <si>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</si>
  <si>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</si>
  <si>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</si>
  <si>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</si>
  <si>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</si>
  <si>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</si>
  <si>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</si>
  <si>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</si>
  <si>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</si>
  <si>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</si>
  <si>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</si>
  <si>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</si>
  <si>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</si>
  <si>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</si>
  <si>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</si>
  <si>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</si>
  <si>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</si>
  <si>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</si>
  <si>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</si>
  <si>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</si>
  <si>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</si>
  <si>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</si>
  <si>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</si>
  <si>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</si>
  <si>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</si>
  <si>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</si>
  <si>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</si>
  <si>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</si>
  <si>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</si>
  <si>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</si>
  <si>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</si>
  <si>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</si>
  <si>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</si>
  <si>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</si>
  <si>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</si>
  <si>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</si>
  <si>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</si>
  <si>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</si>
  <si>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</si>
  <si>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</si>
  <si>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</si>
  <si>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</si>
  <si>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</si>
  <si>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</si>
  <si>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</si>
  <si>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</si>
  <si>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</si>
  <si>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</si>
  <si>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</si>
  <si>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</si>
  <si>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</si>
  <si>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</si>
  <si>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</si>
  <si>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</si>
  <si>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</si>
  <si>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</si>
  <si>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</si>
  <si>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</si>
  <si>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</si>
  <si>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</si>
  <si>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</si>
  <si>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</si>
  <si>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</si>
  <si>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</si>
  <si>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</si>
  <si>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</si>
  <si>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</si>
  <si>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</si>
  <si>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</si>
  <si>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</si>
  <si>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</si>
  <si>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</si>
  <si>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</si>
  <si>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</si>
  <si>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</si>
  <si>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</si>
  <si>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</si>
  <si>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</si>
  <si>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</si>
  <si>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</si>
  <si>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</si>
  <si>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</si>
  <si>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</si>
  <si>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</si>
  <si>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</si>
  <si>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</si>
  <si>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</si>
  <si>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</si>
  <si>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</si>
  <si>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</si>
  <si>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</si>
  <si>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</si>
  <si>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</si>
  <si>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</si>
  <si>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</si>
  <si>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</si>
  <si>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</si>
  <si>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</si>
  <si>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</si>
  <si>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</si>
  <si>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</si>
  <si>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</si>
  <si>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</si>
  <si>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</si>
  <si>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</si>
  <si>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</si>
  <si>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</si>
  <si>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</si>
  <si>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</si>
  <si>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</si>
  <si>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</si>
  <si>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</si>
  <si>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</si>
  <si>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</si>
  <si>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</si>
  <si>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</si>
  <si>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</si>
  <si>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</si>
  <si>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</si>
  <si>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</si>
  <si>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</si>
  <si>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</si>
  <si>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</si>
  <si>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</si>
  <si>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</si>
  <si>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</si>
  <si>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</si>
  <si>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</si>
  <si>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</si>
  <si>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</si>
  <si>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</si>
  <si>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</si>
  <si>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</si>
  <si>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</si>
  <si>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</si>
  <si>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</si>
  <si>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</si>
  <si>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</si>
  <si>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</si>
  <si>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</si>
  <si>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</si>
  <si>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</si>
  <si>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</si>
  <si>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</si>
  <si>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</si>
  <si>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</si>
  <si>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</si>
  <si>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</si>
  <si>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</si>
  <si>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</si>
  <si>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</si>
  <si>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</si>
  <si>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</si>
  <si>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</si>
  <si>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</si>
  <si>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</si>
  <si>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</si>
  <si>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</si>
  <si>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</si>
  <si>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</si>
  <si>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</si>
  <si>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</si>
  <si>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</si>
  <si>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</si>
  <si>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</si>
  <si>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</si>
  <si>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</si>
  <si>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</si>
  <si>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</si>
  <si>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</si>
  <si>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</si>
  <si>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</si>
  <si>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</si>
  <si>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</si>
  <si>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</si>
  <si>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</si>
  <si>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</si>
  <si>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</si>
  <si>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</si>
  <si>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</si>
  <si>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</si>
  <si>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</si>
  <si>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</si>
  <si>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</si>
  <si>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</si>
  <si>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</si>
  <si>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</si>
  <si>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</si>
  <si>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</si>
  <si>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</si>
  <si>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</si>
  <si>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</si>
  <si>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</si>
  <si>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</si>
  <si>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</si>
  <si>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</si>
  <si>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</si>
  <si>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</si>
  <si>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</si>
  <si>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</si>
  <si>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</si>
  <si>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</si>
  <si>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</si>
  <si>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</si>
  <si>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</si>
  <si>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</si>
  <si>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</si>
  <si>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</si>
  <si>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</si>
  <si>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</si>
  <si>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</si>
  <si>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</si>
  <si>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</si>
  <si>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</si>
  <si>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</si>
  <si>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</si>
  <si>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</si>
  <si>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</si>
  <si>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</si>
  <si>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</si>
  <si>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</si>
  <si>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</si>
  <si>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</si>
  <si>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</si>
  <si>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</si>
  <si>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</si>
  <si>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</si>
  <si>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</si>
  <si>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</si>
  <si>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</si>
  <si>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</si>
  <si>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</si>
  <si>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</si>
  <si>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</si>
  <si>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</si>
  <si>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</si>
  <si>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</si>
  <si>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</si>
  <si>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</si>
  <si>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</si>
  <si>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</si>
  <si>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</si>
  <si>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</si>
  <si>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</si>
  <si>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</si>
  <si>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</si>
  <si>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</si>
  <si>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</si>
  <si>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</si>
  <si>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</si>
  <si>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</si>
  <si>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</si>
  <si>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</si>
  <si>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</si>
  <si>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</si>
  <si>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</si>
  <si>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</si>
  <si>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</si>
  <si>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</si>
  <si>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</si>
  <si>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</si>
  <si>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</si>
  <si>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</si>
  <si>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</si>
  <si>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</si>
  <si>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</si>
  <si>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</si>
  <si>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</si>
  <si>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</si>
  <si>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</si>
  <si>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</si>
  <si>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</si>
  <si>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</si>
  <si>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</si>
  <si>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</si>
  <si>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</si>
  <si>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</si>
  <si>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</si>
  <si>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</si>
  <si>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</si>
  <si>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</si>
  <si>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</si>
  <si>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</si>
  <si>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</si>
  <si>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</si>
  <si>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</si>
  <si>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</si>
  <si>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</si>
  <si>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</si>
  <si>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</si>
  <si>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</si>
  <si>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</si>
  <si>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</si>
  <si>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</si>
  <si>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</si>
  <si>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</si>
  <si>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</si>
  <si>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</si>
  <si>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</si>
  <si>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</si>
  <si>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</si>
  <si>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</si>
  <si>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</si>
  <si>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</si>
  <si>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</si>
  <si>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</si>
  <si>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</si>
  <si>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</si>
  <si>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</si>
  <si>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</si>
  <si>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</si>
  <si>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</si>
  <si>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</si>
  <si>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</si>
  <si>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</si>
  <si>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</si>
  <si>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</si>
  <si>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</si>
  <si>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</si>
  <si>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</si>
  <si>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</si>
  <si>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</si>
  <si>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</si>
  <si>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</si>
  <si>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</si>
  <si>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</si>
  <si>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</si>
  <si>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</si>
  <si>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</si>
  <si>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</si>
  <si>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</si>
  <si>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</si>
  <si>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</si>
  <si>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</si>
  <si>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</si>
  <si>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</si>
  <si>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</si>
  <si>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</si>
  <si>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</si>
  <si>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</si>
  <si>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</si>
  <si>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</si>
  <si>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</si>
  <si>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</si>
  <si>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</si>
  <si>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</si>
  <si>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</si>
  <si>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</si>
  <si>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</si>
  <si>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</si>
  <si>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</si>
  <si>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</si>
  <si>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</si>
  <si>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</si>
  <si>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</si>
  <si>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</si>
  <si>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</si>
  <si>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</si>
  <si>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</si>
  <si>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</si>
  <si>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</si>
  <si>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</si>
  <si>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</si>
  <si>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</si>
  <si>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</si>
  <si>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</si>
  <si>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</si>
  <si>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</si>
  <si>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</si>
  <si>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</si>
  <si>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</si>
  <si>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</si>
  <si>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</si>
  <si>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</si>
  <si>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</si>
  <si>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</si>
  <si>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</si>
  <si>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</si>
  <si>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</si>
  <si>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</si>
  <si>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</si>
  <si>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</si>
  <si>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</si>
  <si>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</si>
  <si>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</si>
  <si>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</si>
  <si>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</si>
  <si>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</si>
  <si>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</si>
  <si>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</si>
  <si>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</si>
  <si>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</si>
  <si>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</si>
  <si>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</si>
  <si>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</si>
  <si>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</si>
  <si>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</si>
  <si>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</si>
  <si>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</si>
  <si>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</si>
  <si>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</si>
  <si>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</si>
  <si>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</si>
  <si>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</si>
  <si>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</si>
  <si>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</si>
  <si>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</si>
  <si>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</si>
  <si>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</si>
  <si>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</si>
  <si>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</si>
  <si>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</si>
  <si>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</si>
  <si>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</si>
  <si>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</si>
  <si>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</si>
  <si>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</si>
  <si>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</si>
  <si>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</si>
  <si>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</si>
  <si>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</si>
  <si>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</si>
  <si>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</si>
  <si>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</si>
  <si>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</si>
  <si>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</si>
  <si>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</si>
  <si>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</si>
  <si>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</si>
  <si>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</si>
  <si>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</si>
  <si>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</si>
  <si>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</si>
  <si>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</si>
  <si>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</si>
  <si>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</si>
  <si>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</si>
  <si>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</si>
  <si>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</si>
  <si>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</si>
  <si>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</si>
  <si>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</si>
  <si>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</si>
  <si>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</si>
  <si>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</si>
  <si>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</si>
  <si>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</si>
  <si>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</si>
  <si>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</si>
  <si>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</si>
  <si>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</si>
  <si>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</si>
  <si>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</si>
  <si>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</si>
  <si>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</si>
  <si>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</si>
  <si>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</si>
  <si>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</si>
  <si>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</si>
  <si>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</si>
  <si>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</si>
  <si>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</si>
  <si>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</si>
  <si>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</si>
  <si>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</si>
  <si>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</si>
  <si>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</si>
  <si>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</si>
  <si>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</si>
  <si>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</si>
  <si>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</si>
  <si>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</si>
  <si>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</si>
  <si>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</si>
  <si>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</si>
  <si>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</si>
  <si>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</si>
  <si>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</si>
  <si>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</si>
  <si>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</si>
  <si>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</si>
  <si>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</si>
  <si>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</si>
  <si>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</si>
  <si>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</si>
  <si>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</si>
  <si>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</si>
  <si>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</si>
  <si>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</si>
  <si>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</si>
  <si>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</si>
  <si>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</si>
  <si>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</si>
  <si>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</si>
  <si>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</si>
  <si>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</si>
  <si>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</si>
  <si>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</si>
  <si>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</si>
  <si>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</si>
  <si>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</si>
  <si>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</si>
  <si>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</si>
  <si>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</si>
  <si>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</si>
  <si>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</si>
  <si>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</si>
  <si>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</si>
  <si>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</si>
  <si>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</si>
  <si>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</si>
  <si>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</si>
  <si>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</si>
  <si>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</si>
  <si>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</si>
  <si>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</si>
  <si>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</si>
  <si>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</si>
  <si>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</si>
  <si>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</si>
  <si>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</si>
  <si>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</si>
  <si>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</si>
  <si>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</si>
  <si>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</si>
  <si>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</si>
  <si>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</si>
  <si>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</si>
  <si>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</si>
  <si>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</si>
  <si>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</si>
  <si>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</si>
  <si>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</si>
  <si>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</si>
  <si>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</si>
  <si>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</si>
  <si>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</si>
  <si>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</si>
  <si>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</si>
  <si>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</si>
  <si>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</si>
  <si>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</si>
  <si>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</si>
  <si>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</si>
  <si>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</si>
  <si>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</si>
  <si>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</si>
  <si>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</si>
  <si>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</si>
  <si>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</si>
  <si>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</si>
  <si>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</si>
  <si>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</si>
  <si>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</si>
  <si>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</si>
  <si>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</si>
  <si>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</si>
  <si>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</si>
  <si>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</si>
  <si>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</si>
  <si>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</si>
  <si>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</si>
  <si>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</si>
  <si>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</si>
  <si>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</si>
  <si>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</si>
  <si>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</si>
  <si>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</si>
  <si>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</si>
  <si>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</si>
  <si>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</si>
  <si>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</si>
  <si>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</si>
  <si>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</si>
  <si>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</si>
  <si>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</si>
  <si>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</si>
  <si>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</si>
  <si>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</si>
  <si>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</si>
  <si>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</si>
  <si>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</si>
  <si>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</si>
  <si>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</si>
  <si>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</si>
  <si>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</si>
  <si>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</si>
  <si>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</si>
  <si>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</si>
  <si>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</si>
  <si>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</si>
  <si>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</si>
  <si>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</si>
  <si>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</si>
  <si>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</si>
  <si>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</si>
  <si>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</si>
  <si>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</si>
  <si>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</si>
  <si>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</si>
  <si>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</si>
  <si>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</si>
  <si>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</si>
  <si>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</si>
  <si>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</si>
  <si>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</si>
  <si>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</si>
  <si>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</si>
  <si>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</si>
  <si>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</si>
  <si>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</si>
  <si>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</si>
  <si>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</si>
  <si>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</si>
  <si>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</si>
  <si>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</si>
  <si>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</si>
  <si>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</si>
  <si>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</si>
  <si>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</si>
  <si>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</si>
  <si>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</si>
  <si>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</si>
  <si>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</si>
  <si>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</si>
  <si>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</si>
  <si>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</si>
  <si>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</si>
  <si>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</si>
  <si>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</si>
  <si>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</si>
  <si>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</si>
  <si>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</si>
  <si>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</si>
  <si>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</si>
  <si>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</si>
  <si>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</si>
  <si>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</si>
  <si>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</si>
  <si>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</si>
  <si>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</si>
  <si>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</si>
  <si>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</si>
  <si>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</si>
  <si>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</si>
  <si>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</si>
  <si>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</si>
  <si>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</si>
  <si>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</si>
  <si>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</si>
  <si>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</si>
  <si>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</si>
  <si>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</si>
  <si>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</si>
  <si>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</si>
  <si>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</si>
  <si>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</si>
  <si>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</si>
  <si>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</si>
  <si>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</si>
  <si>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</si>
  <si>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</si>
  <si>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</si>
  <si>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</si>
  <si>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</si>
  <si>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</si>
  <si>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</si>
  <si>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</si>
  <si>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</si>
  <si>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</si>
  <si>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</si>
  <si>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</si>
  <si>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</si>
  <si>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</si>
  <si>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</si>
  <si>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</si>
  <si>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</si>
  <si>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</si>
  <si>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</si>
  <si>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</si>
  <si>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</si>
  <si>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</si>
  <si>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</si>
  <si>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</si>
  <si>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</si>
  <si>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</si>
  <si>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</si>
  <si>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</si>
  <si>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</si>
  <si>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</si>
  <si>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</si>
  <si>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</si>
  <si>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</si>
  <si>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</si>
  <si>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</si>
  <si>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</si>
  <si>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</si>
  <si>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</si>
  <si>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</si>
  <si>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</si>
  <si>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</si>
  <si>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</si>
  <si>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</si>
  <si>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</si>
  <si>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</si>
  <si>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</si>
  <si>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</si>
  <si>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</si>
  <si>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</si>
  <si>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</si>
  <si>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</si>
  <si>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</si>
  <si>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</si>
  <si>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</si>
  <si>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</si>
  <si>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</si>
  <si>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</si>
  <si>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</si>
  <si>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</si>
  <si>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</si>
  <si>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</si>
  <si>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</si>
  <si>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</si>
  <si>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</si>
  <si>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</si>
  <si>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</si>
  <si>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</si>
  <si>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</si>
  <si>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</si>
  <si>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</si>
  <si>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</si>
  <si>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</si>
  <si>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</si>
  <si>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</si>
  <si>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</si>
  <si>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</si>
  <si>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</si>
  <si>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</si>
  <si>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</si>
  <si>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</si>
  <si>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</si>
  <si>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</si>
  <si>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</si>
  <si>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</si>
  <si>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</si>
  <si>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</si>
  <si>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</si>
  <si>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</si>
  <si>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</si>
  <si>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</si>
  <si>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</si>
  <si>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</si>
  <si>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</si>
  <si>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</si>
  <si>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</si>
  <si>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</si>
  <si>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</si>
  <si>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</si>
  <si>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</si>
  <si>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</si>
  <si>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</si>
  <si>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</si>
  <si>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</si>
  <si>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</si>
  <si>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</si>
  <si>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</si>
  <si>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</si>
  <si>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</si>
  <si>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</si>
  <si>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</si>
  <si>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</si>
  <si>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</si>
  <si>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</si>
  <si>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</si>
  <si>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</si>
  <si>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</si>
  <si>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</si>
  <si>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</si>
  <si>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</si>
  <si>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</si>
  <si>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</si>
  <si>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</si>
  <si>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</si>
  <si>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</si>
  <si>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</si>
  <si>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</si>
  <si>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</si>
  <si>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</si>
  <si>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</si>
  <si>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</si>
  <si>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</si>
  <si>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</si>
  <si>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</si>
  <si>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</si>
  <si>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</si>
  <si>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</si>
  <si>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</si>
  <si>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</si>
  <si>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</si>
  <si>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</si>
  <si>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</si>
  <si>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</si>
  <si>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</si>
  <si>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</si>
  <si>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</si>
  <si>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</si>
  <si>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</si>
  <si>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</si>
  <si>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</si>
  <si>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</si>
  <si>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</si>
  <si>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</si>
  <si>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</si>
  <si>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</si>
  <si>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</si>
  <si>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</si>
  <si>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</si>
  <si>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</si>
  <si>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</si>
  <si>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</si>
  <si>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</si>
  <si>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</si>
  <si>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</si>
  <si>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</si>
  <si>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</si>
  <si>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</si>
  <si>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</si>
  <si>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</si>
  <si>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</si>
  <si>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</si>
  <si>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</si>
  <si>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</si>
  <si>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</si>
  <si>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</si>
  <si>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</si>
  <si>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</si>
  <si>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</si>
  <si>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</si>
  <si>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</si>
  <si>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</si>
  <si>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</si>
  <si>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</si>
  <si>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</si>
  <si>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</si>
  <si>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</si>
  <si>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</si>
  <si>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</si>
  <si>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</si>
  <si>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</si>
  <si>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</si>
  <si>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</si>
  <si>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</si>
  <si>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</si>
  <si>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</si>
  <si>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</si>
  <si>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</si>
  <si>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</si>
  <si>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</si>
  <si>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</si>
  <si>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</si>
  <si>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</si>
  <si>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</si>
  <si>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</si>
  <si>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</si>
  <si>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</si>
  <si>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</si>
  <si>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</si>
  <si>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</si>
  <si>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</si>
  <si>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</si>
  <si>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</si>
  <si>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</si>
  <si>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</si>
  <si>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</si>
  <si>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</si>
  <si>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</si>
  <si>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</si>
  <si>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</si>
  <si>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</si>
  <si>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</si>
  <si>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</si>
  <si>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</si>
  <si>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</si>
  <si>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</si>
  <si>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</si>
  <si>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</si>
  <si>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</si>
  <si>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</si>
  <si>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</si>
  <si>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</si>
  <si>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</si>
  <si>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</si>
  <si>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</si>
  <si>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</si>
  <si>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</si>
  <si>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</si>
  <si>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</si>
  <si>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</si>
  <si>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</si>
  <si>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</si>
  <si>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</si>
  <si>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</si>
  <si>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</si>
  <si>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</si>
  <si>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</si>
  <si>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</si>
  <si>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</si>
  <si>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</si>
  <si>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</si>
  <si>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</si>
  <si>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</si>
  <si>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</si>
  <si>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</si>
  <si>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</si>
  <si>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</si>
  <si>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</si>
  <si>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</si>
  <si>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</si>
  <si>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</si>
  <si>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</si>
  <si>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</si>
  <si>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</si>
  <si>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</si>
  <si>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</si>
  <si>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</si>
  <si>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</si>
  <si>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</si>
  <si>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</si>
  <si>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</si>
  <si>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</si>
  <si>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</si>
  <si>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</si>
  <si>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</si>
  <si>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</si>
  <si>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</si>
  <si>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</si>
  <si>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</si>
  <si>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</si>
  <si>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</si>
  <si>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</si>
  <si>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</si>
  <si>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</si>
  <si>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</si>
  <si>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</si>
  <si>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</si>
  <si>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</si>
  <si>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</si>
  <si>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</si>
  <si>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</si>
  <si>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</si>
  <si>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</si>
  <si>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</si>
  <si>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</si>
  <si>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</si>
  <si>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</si>
  <si>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</si>
  <si>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</si>
  <si>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</si>
  <si>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</si>
  <si>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</si>
  <si>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</si>
  <si>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</si>
  <si>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</si>
  <si>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</si>
  <si>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</si>
  <si>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</si>
  <si>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</si>
  <si>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</si>
  <si>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</si>
  <si>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</si>
  <si>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</si>
  <si>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</si>
  <si>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</si>
  <si>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</si>
  <si>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</si>
  <si>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</si>
  <si>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</si>
  <si>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</si>
  <si>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</si>
  <si>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</si>
  <si>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</si>
  <si>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</si>
  <si>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</si>
  <si>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</si>
  <si>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</si>
  <si>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</si>
  <si>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</si>
  <si>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</si>
  <si>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</si>
  <si>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</si>
  <si>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</si>
  <si>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</si>
  <si>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</si>
  <si>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</si>
  <si>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</si>
  <si>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</si>
  <si>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</si>
  <si>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</si>
  <si>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</si>
  <si>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</si>
  <si>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</si>
  <si>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</si>
  <si>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</si>
  <si>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</si>
  <si>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</si>
  <si>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</si>
  <si>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</si>
  <si>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</si>
  <si>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</si>
  <si>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</si>
  <si>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</si>
  <si>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</si>
  <si>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</si>
  <si>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</si>
  <si>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</si>
  <si>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</si>
  <si>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</si>
  <si>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</si>
  <si>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</si>
  <si>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</si>
  <si>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</si>
  <si>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</si>
  <si>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</si>
  <si>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</si>
  <si>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</si>
  <si>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</si>
  <si>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</si>
  <si>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</si>
  <si>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</si>
  <si>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</si>
  <si>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</si>
  <si>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</si>
  <si>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</si>
  <si>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</si>
  <si>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</si>
  <si>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</si>
  <si>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</si>
  <si>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</si>
  <si>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</si>
  <si>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</si>
  <si>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</si>
  <si>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</si>
  <si>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</si>
  <si>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</si>
  <si>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</si>
  <si>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</si>
  <si>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</si>
  <si>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</si>
  <si>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</si>
  <si>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</si>
  <si>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</si>
  <si>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</si>
  <si>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</si>
  <si>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</si>
  <si>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</si>
  <si>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</si>
  <si>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</si>
  <si>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</si>
  <si>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</si>
  <si>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</si>
  <si>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</si>
  <si>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</si>
  <si>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</si>
  <si>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</si>
  <si>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</si>
  <si>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</si>
  <si>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</si>
  <si>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</si>
  <si>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</si>
  <si>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</si>
  <si>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</si>
  <si>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</si>
  <si>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</si>
  <si>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</si>
  <si>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</si>
  <si>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</si>
  <si>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</si>
  <si>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</si>
  <si>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</si>
  <si>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</si>
  <si>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</si>
  <si>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</si>
  <si>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</si>
  <si>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</si>
  <si>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</si>
  <si>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</si>
  <si>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</si>
  <si>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</si>
  <si>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</si>
  <si>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</si>
  <si>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</si>
  <si>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</si>
  <si>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</si>
  <si>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</si>
  <si>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</si>
  <si>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</si>
  <si>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</si>
  <si>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</si>
  <si>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</si>
  <si>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</si>
  <si>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</si>
  <si>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</si>
  <si>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</si>
  <si>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</si>
  <si>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</si>
  <si>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</si>
  <si>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</si>
  <si>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</si>
  <si>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</si>
  <si>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</si>
  <si>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</si>
  <si>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</si>
  <si>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</si>
  <si>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</si>
  <si>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</si>
  <si>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</si>
  <si>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</si>
  <si>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</si>
  <si>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</si>
  <si>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</si>
  <si>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</si>
  <si>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</si>
  <si>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</si>
  <si>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</si>
  <si>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</si>
  <si>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</si>
  <si>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</si>
  <si>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</si>
  <si>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</si>
  <si>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</si>
  <si>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</si>
  <si>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</si>
  <si>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</si>
  <si>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</si>
  <si>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</si>
  <si>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</si>
  <si>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</si>
  <si>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</si>
  <si>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</si>
  <si>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</si>
  <si>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</si>
  <si>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</si>
  <si>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</si>
  <si>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</si>
  <si>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</si>
  <si>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</si>
  <si>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</si>
  <si>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</si>
  <si>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</si>
  <si>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</si>
  <si>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</si>
  <si>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</si>
  <si>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</si>
  <si>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</si>
  <si>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</si>
  <si>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</si>
  <si>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</si>
  <si>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</si>
  <si>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</si>
  <si>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</si>
  <si>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</si>
  <si>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</si>
  <si>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</si>
  <si>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</si>
  <si>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</si>
  <si>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</si>
  <si>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</si>
  <si>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</si>
  <si>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</si>
  <si>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</si>
  <si>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</si>
  <si>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</si>
  <si>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</si>
  <si>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</si>
  <si>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</si>
  <si>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</si>
  <si>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</si>
  <si>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</si>
  <si>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</si>
  <si>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</si>
  <si>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</si>
  <si>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</si>
  <si>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</si>
  <si>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</si>
  <si>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</si>
  <si>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</si>
  <si>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</si>
  <si>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</si>
  <si>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</si>
  <si>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</si>
  <si>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</si>
  <si>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</si>
  <si>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</si>
  <si>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</si>
  <si>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</si>
  <si>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</si>
  <si>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</si>
  <si>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</si>
  <si>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</si>
  <si>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</si>
  <si>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</si>
  <si>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</si>
  <si>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</si>
  <si>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</si>
  <si>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</si>
  <si>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</si>
  <si>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</si>
  <si>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</si>
  <si>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</si>
  <si>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</si>
  <si>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</si>
  <si>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</si>
  <si>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</si>
  <si>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</si>
  <si>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</si>
  <si>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</si>
  <si>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</si>
  <si>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</si>
  <si>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</si>
  <si>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</si>
  <si>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</si>
  <si>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</si>
  <si>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</si>
  <si>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</si>
  <si>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</si>
  <si>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</si>
  <si>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</si>
  <si>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</si>
  <si>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</si>
  <si>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</si>
  <si>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</si>
  <si>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</si>
  <si>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</si>
  <si>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</si>
  <si>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</si>
  <si>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</si>
  <si>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</si>
  <si>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</si>
  <si>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</si>
  <si>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</si>
  <si>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</si>
  <si>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</si>
  <si>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</si>
  <si>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</si>
  <si>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</si>
  <si>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</si>
  <si>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</si>
  <si>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</si>
  <si>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</si>
  <si>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</si>
  <si>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</si>
  <si>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</si>
  <si>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</si>
  <si>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</si>
  <si>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</si>
  <si>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</si>
  <si>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</si>
  <si>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</si>
  <si>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</si>
  <si>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</si>
  <si>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</si>
  <si>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</si>
  <si>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</si>
  <si>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</si>
  <si>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</si>
  <si>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</si>
  <si>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</si>
  <si>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</si>
  <si>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</si>
  <si>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</si>
  <si>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</si>
  <si>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</si>
  <si>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</si>
  <si>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</si>
  <si>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</si>
  <si>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</si>
  <si>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</si>
  <si>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</si>
  <si>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</si>
  <si>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</si>
  <si>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</si>
  <si>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</si>
  <si>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</si>
  <si>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</si>
  <si>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</si>
  <si>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</si>
  <si>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</si>
  <si>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</si>
  <si>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</si>
  <si>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</si>
  <si>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</si>
  <si>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</si>
  <si>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</si>
  <si>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</si>
  <si>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</si>
  <si>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</si>
  <si>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</si>
  <si>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</si>
  <si>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</si>
  <si>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</si>
  <si>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</si>
  <si>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</si>
  <si>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</si>
  <si>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</si>
  <si>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</si>
  <si>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</si>
  <si>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</si>
  <si>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</si>
  <si>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</si>
  <si>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</si>
  <si>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</si>
  <si>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</si>
  <si>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</si>
  <si>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</si>
  <si>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</si>
  <si>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</si>
  <si>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</si>
  <si>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</si>
  <si>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</si>
  <si>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</si>
  <si>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</si>
  <si>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</si>
  <si>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</si>
  <si>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</si>
  <si>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</si>
  <si>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</si>
  <si>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</si>
  <si>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</si>
  <si>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</si>
  <si>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</si>
  <si>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</si>
  <si>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</si>
  <si>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</si>
  <si>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</si>
  <si>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</si>
  <si>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</si>
  <si>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</si>
  <si>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</si>
  <si>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</si>
  <si>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</si>
  <si>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</si>
  <si>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</si>
  <si>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</si>
  <si>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</si>
  <si>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</si>
  <si>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</si>
  <si>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</si>
  <si>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</si>
  <si>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</si>
  <si>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</si>
  <si>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</si>
  <si>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</si>
  <si>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</si>
  <si>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</si>
  <si>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</si>
  <si>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</si>
  <si>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</si>
  <si>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</si>
  <si>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</si>
  <si>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</si>
  <si>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</si>
  <si>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</si>
  <si>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</si>
  <si>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</si>
  <si>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</si>
  <si>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</si>
  <si>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</si>
  <si>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</si>
  <si>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</si>
  <si>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</si>
  <si>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</si>
  <si>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</si>
  <si>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</si>
  <si>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</si>
  <si>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</si>
  <si>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</si>
  <si>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</si>
  <si>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</si>
  <si>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</si>
  <si>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</si>
  <si>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</si>
  <si>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</si>
  <si>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</si>
  <si>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</si>
  <si>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</si>
  <si>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</si>
  <si>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</si>
  <si>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</si>
  <si>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</si>
  <si>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</si>
  <si>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</si>
  <si>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</si>
  <si>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</si>
  <si>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</si>
  <si>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</si>
  <si>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</si>
  <si>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</si>
  <si>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</si>
  <si>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</si>
  <si>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</si>
  <si>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</si>
  <si>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</si>
  <si>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</si>
  <si>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</si>
  <si>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</si>
  <si>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</si>
  <si>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</si>
  <si>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</si>
  <si>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</si>
  <si>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</si>
  <si>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</si>
  <si>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</si>
  <si>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</si>
  <si>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</si>
  <si>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</si>
  <si>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</si>
  <si>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</si>
  <si>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</si>
  <si>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</si>
  <si>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</si>
  <si>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</si>
  <si>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</si>
  <si>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</si>
  <si>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</si>
  <si>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</si>
  <si>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</si>
  <si>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</si>
  <si>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</si>
  <si>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</si>
  <si>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</si>
  <si>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</si>
  <si>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</si>
  <si>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</si>
  <si>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</si>
  <si>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</si>
  <si>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</si>
  <si>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</si>
  <si>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</si>
  <si>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</si>
  <si>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</si>
  <si>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</si>
  <si>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</si>
  <si>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</si>
  <si>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</si>
  <si>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</si>
  <si>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</si>
  <si>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</si>
  <si>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</si>
  <si>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</si>
  <si>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</si>
  <si>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</si>
  <si>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</si>
  <si>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</si>
  <si>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</si>
  <si>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</si>
  <si>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</si>
  <si>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</si>
  <si>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</si>
  <si>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</si>
  <si>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</si>
  <si>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</si>
  <si>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</si>
  <si>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</si>
  <si>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</si>
  <si>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</si>
  <si>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</si>
  <si>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</si>
  <si>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</si>
  <si>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</si>
  <si>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</si>
  <si>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</si>
  <si>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</si>
  <si>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</si>
  <si>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</si>
  <si>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</si>
  <si>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</si>
  <si>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</si>
  <si>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</si>
  <si>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</si>
  <si>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</si>
  <si>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</si>
  <si>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</si>
  <si>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</si>
  <si>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</si>
  <si>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</si>
  <si>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</si>
  <si>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</si>
  <si>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</si>
  <si>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</si>
  <si>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</si>
  <si>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</si>
  <si>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</si>
  <si>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</si>
  <si>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</si>
  <si>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</si>
  <si>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</si>
  <si>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</si>
  <si>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</si>
  <si>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</si>
  <si>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</si>
  <si>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</si>
  <si>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</si>
  <si>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</si>
  <si>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</si>
  <si>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</si>
  <si>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</si>
  <si>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</si>
  <si>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</si>
  <si>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</si>
  <si>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</si>
  <si>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</si>
  <si>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</si>
  <si>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</si>
  <si>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</si>
  <si>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</si>
  <si>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</si>
  <si>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</si>
  <si>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</si>
  <si>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</si>
  <si>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</si>
  <si>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</si>
  <si>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</si>
  <si>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</si>
  <si>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</si>
  <si>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</si>
  <si>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</si>
  <si>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</si>
  <si>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</si>
  <si>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</si>
  <si>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</si>
  <si>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</si>
  <si>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</si>
  <si>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</si>
  <si>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</si>
  <si>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</si>
  <si>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</si>
  <si>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</si>
  <si>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</si>
  <si>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</si>
  <si>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</si>
  <si>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</si>
  <si>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</si>
  <si>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</si>
  <si>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</si>
  <si>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</si>
  <si>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</si>
  <si>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</si>
  <si>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</si>
  <si>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</si>
  <si>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</si>
  <si>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</si>
  <si>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</si>
  <si>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</si>
  <si>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</si>
  <si>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</si>
  <si>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</si>
  <si>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</si>
  <si>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</si>
  <si>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</si>
  <si>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</si>
  <si>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</si>
  <si>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</si>
  <si>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</si>
  <si>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</si>
  <si>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</si>
  <si>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</si>
  <si>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</si>
  <si>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</si>
  <si>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</si>
  <si>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</si>
  <si>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</si>
  <si>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</si>
  <si>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</si>
  <si>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</si>
  <si>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</si>
  <si>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</si>
  <si>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</si>
  <si>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</si>
  <si>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</si>
  <si>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</si>
  <si>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</si>
  <si>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</si>
  <si>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</si>
  <si>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</si>
  <si>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</si>
  <si>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</si>
  <si>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</si>
  <si>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</si>
  <si>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</si>
  <si>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</si>
  <si>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</si>
  <si>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</si>
  <si>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</si>
  <si>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</si>
  <si>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</si>
  <si>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</si>
  <si>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</si>
  <si>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</si>
  <si>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</si>
  <si>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</si>
  <si>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</si>
  <si>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</si>
  <si>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</si>
  <si>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</si>
  <si>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</si>
  <si>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</si>
  <si>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</si>
  <si>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</si>
  <si>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</si>
  <si>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</si>
  <si>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</si>
  <si>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</si>
  <si>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</si>
  <si>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</si>
  <si>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</si>
  <si>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</si>
  <si>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</si>
  <si>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</si>
  <si>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</si>
  <si>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</si>
  <si>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</si>
  <si>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</si>
  <si>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</si>
  <si>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</si>
  <si>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</si>
  <si>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</si>
  <si>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</si>
  <si>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</si>
  <si>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</si>
  <si>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</si>
  <si>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</si>
  <si>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</si>
  <si>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</si>
  <si>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</si>
  <si>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</si>
  <si>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</si>
  <si>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</si>
  <si>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</si>
  <si>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</si>
  <si>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</si>
  <si>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</si>
  <si>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</si>
  <si>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</si>
  <si>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</si>
  <si>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</si>
  <si>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</si>
  <si>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</si>
  <si>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</si>
  <si>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</si>
  <si>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</si>
  <si>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</si>
  <si>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</si>
  <si>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</si>
  <si>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</si>
  <si>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</si>
  <si>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</si>
  <si>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</si>
  <si>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</si>
  <si>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</si>
  <si>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</si>
  <si>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</si>
  <si>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</si>
  <si>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</si>
  <si>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</si>
  <si>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</si>
  <si>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</si>
  <si>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</si>
  <si>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</si>
  <si>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</si>
  <si>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</si>
  <si>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</si>
  <si>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</si>
  <si>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</si>
  <si>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</si>
  <si>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</si>
  <si>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</si>
  <si>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</si>
  <si>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</si>
  <si>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</si>
  <si>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</si>
  <si>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</si>
  <si>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</si>
  <si>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</si>
  <si>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</si>
  <si>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</si>
  <si>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</si>
  <si>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</si>
  <si>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</si>
  <si>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</si>
  <si>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</si>
  <si>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</si>
  <si>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</si>
  <si>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</si>
  <si>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</si>
  <si>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</si>
  <si>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</si>
  <si>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</si>
  <si>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</si>
  <si>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</si>
  <si>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</si>
  <si>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</si>
  <si>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</si>
  <si>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</si>
  <si>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</si>
  <si>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</si>
  <si>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</si>
  <si>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</si>
  <si>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</si>
  <si>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</si>
  <si>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</si>
  <si>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</si>
  <si>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</si>
  <si>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</si>
  <si>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</si>
  <si>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</si>
  <si>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</si>
  <si>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</si>
  <si>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</si>
  <si>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</si>
  <si>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</si>
  <si>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</si>
  <si>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</si>
  <si>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</si>
  <si>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</si>
  <si>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</si>
  <si>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</si>
  <si>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</si>
  <si>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</si>
  <si>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</si>
  <si>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</si>
  <si>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</si>
  <si>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</si>
  <si>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</si>
  <si>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</si>
  <si>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</si>
  <si>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</si>
  <si>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</si>
  <si>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</si>
  <si>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</si>
  <si>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</si>
  <si>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</si>
  <si>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</si>
  <si>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</si>
  <si>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</si>
  <si>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</si>
  <si>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</si>
  <si>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</si>
  <si>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</si>
  <si>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</si>
  <si>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</si>
  <si>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</si>
  <si>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</si>
  <si>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</si>
  <si>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</si>
  <si>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</si>
  <si>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</si>
  <si>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</si>
  <si>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</si>
  <si>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</si>
  <si>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</si>
  <si>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</si>
  <si>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</si>
  <si>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</si>
  <si>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</si>
  <si>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</si>
  <si>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</si>
  <si>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</si>
  <si>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</si>
  <si>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</si>
  <si>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</si>
  <si>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</si>
  <si>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</si>
  <si>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</si>
  <si>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</si>
  <si>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</si>
  <si>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</si>
  <si>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</si>
  <si>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</si>
  <si>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</si>
  <si>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</si>
  <si>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</si>
  <si>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</si>
  <si>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</si>
  <si>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</si>
  <si>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</si>
  <si>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</si>
  <si>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</si>
  <si>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</si>
  <si>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</si>
  <si>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</si>
  <si>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</si>
  <si>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</si>
  <si>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</si>
  <si>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</si>
  <si>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</si>
  <si>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</si>
  <si>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</si>
  <si>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</si>
  <si>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</si>
  <si>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</si>
  <si>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</si>
  <si>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</si>
  <si>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</si>
  <si>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</si>
  <si>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</si>
  <si>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</si>
  <si>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</si>
  <si>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</si>
  <si>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</si>
  <si>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</si>
  <si>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</si>
  <si>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</si>
  <si>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</si>
  <si>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</si>
  <si>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</si>
  <si>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</si>
  <si>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</si>
  <si>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</si>
  <si>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</si>
  <si>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</si>
  <si>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</si>
  <si>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</si>
  <si>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</si>
  <si>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</si>
  <si>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</si>
  <si>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</si>
  <si>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</si>
  <si>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</si>
  <si>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</si>
  <si>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</si>
  <si>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</si>
  <si>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</si>
  <si>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</si>
  <si>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</si>
  <si>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</si>
  <si>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</si>
  <si>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</si>
  <si>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</si>
  <si>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</si>
  <si>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</si>
  <si>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</si>
  <si>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</si>
  <si>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</si>
  <si>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</si>
  <si>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</si>
  <si>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</si>
  <si>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</si>
  <si>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</si>
  <si>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</si>
  <si>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</si>
  <si>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</si>
  <si>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</si>
  <si>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</si>
  <si>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</si>
  <si>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</si>
  <si>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</si>
  <si>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</si>
  <si>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</si>
  <si>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</si>
  <si>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</si>
  <si>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</si>
  <si>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</si>
  <si>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</si>
  <si>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</si>
  <si>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</si>
  <si>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</si>
  <si>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</si>
  <si>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</si>
  <si>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</si>
  <si>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</si>
  <si>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</si>
  <si>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</si>
  <si>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</si>
  <si>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</si>
  <si>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</si>
  <si>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</si>
  <si>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</si>
  <si>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</si>
  <si>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</si>
  <si>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</si>
  <si>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</si>
  <si>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</si>
  <si>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</si>
  <si>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</si>
  <si>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</si>
  <si>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</si>
  <si>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</si>
  <si>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</si>
  <si>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</si>
  <si>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</si>
  <si>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</si>
  <si>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</si>
  <si>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</si>
  <si>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</si>
  <si>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</si>
  <si>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</si>
  <si>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</si>
  <si>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</si>
  <si>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</si>
  <si>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</si>
  <si>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</si>
  <si>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</si>
  <si>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</si>
  <si>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</si>
  <si>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</si>
  <si>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</si>
  <si>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</si>
  <si>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</si>
  <si>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</si>
  <si>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</si>
  <si>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</si>
  <si>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</si>
  <si>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</si>
  <si>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</si>
  <si>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</si>
  <si>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</si>
  <si>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</si>
  <si>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</si>
  <si>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</si>
  <si>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</si>
  <si>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</si>
  <si>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</si>
  <si>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</si>
  <si>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</si>
  <si>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</si>
  <si>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</si>
  <si>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</si>
  <si>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</si>
  <si>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</si>
  <si>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</si>
  <si>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</si>
  <si>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</si>
  <si>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</si>
  <si>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</si>
  <si>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</si>
  <si>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</si>
  <si>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</si>
  <si>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</si>
  <si>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</si>
  <si>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</si>
  <si>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</si>
  <si>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</si>
  <si>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</si>
  <si>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</si>
  <si>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</si>
  <si>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</si>
  <si>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</si>
  <si>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</si>
  <si>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</si>
  <si>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</si>
  <si>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</si>
  <si>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</si>
  <si>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</si>
  <si>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</si>
  <si>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</si>
  <si>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</si>
  <si>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</si>
  <si>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</si>
  <si>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</si>
  <si>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</si>
  <si>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</si>
  <si>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</si>
  <si>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</si>
  <si>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</si>
  <si>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</si>
  <si>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</si>
  <si>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</si>
  <si>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</si>
  <si>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</si>
  <si>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</si>
  <si>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</si>
  <si>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</si>
  <si>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</si>
  <si>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</si>
  <si>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</si>
  <si>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</si>
  <si>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</si>
  <si>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</si>
  <si>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</si>
  <si>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</si>
  <si>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</si>
  <si>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</si>
  <si>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</si>
  <si>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</si>
  <si>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</si>
  <si>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</si>
  <si>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</si>
  <si>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</si>
  <si>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</si>
  <si>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</si>
  <si>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</si>
  <si>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</si>
  <si>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</si>
  <si>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</si>
  <si>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</si>
  <si>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</si>
  <si>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</si>
  <si>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</si>
  <si>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</si>
  <si>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</si>
  <si>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</si>
  <si>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</si>
  <si>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</si>
  <si>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</si>
  <si>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</si>
  <si>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</si>
  <si>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</si>
  <si>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</si>
  <si>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</si>
  <si>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</si>
  <si>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</si>
  <si>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</si>
  <si>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</si>
  <si>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</si>
  <si>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</si>
  <si>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</si>
  <si>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</si>
  <si>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</si>
  <si>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</si>
  <si>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</si>
  <si>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</si>
  <si>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</si>
  <si>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</si>
  <si>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</si>
  <si>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</si>
  <si>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</si>
  <si>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</si>
  <si>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</si>
  <si>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</si>
  <si>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</si>
  <si>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</si>
  <si>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</si>
  <si>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</si>
  <si>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</si>
  <si>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</si>
  <si>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</si>
  <si>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</si>
  <si>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</si>
  <si>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</si>
  <si>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</si>
  <si>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</si>
  <si>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</si>
  <si>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</si>
  <si>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</si>
  <si>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</si>
  <si>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</si>
  <si>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</si>
  <si>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</si>
  <si>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</si>
  <si>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</si>
  <si>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</si>
  <si>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</si>
  <si>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</si>
  <si>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</si>
  <si>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</si>
  <si>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</si>
  <si>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</si>
  <si>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</si>
  <si>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</si>
  <si>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</si>
  <si>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</si>
  <si>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</si>
  <si>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</si>
  <si>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</si>
  <si>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</si>
  <si>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</si>
  <si>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</si>
  <si>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</si>
  <si>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</si>
  <si>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</si>
  <si>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</si>
  <si>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</si>
  <si>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</si>
  <si>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</si>
  <si>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</si>
  <si>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</si>
  <si>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</si>
  <si>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</si>
  <si>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</si>
  <si>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</si>
  <si>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</si>
  <si>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</si>
  <si>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</si>
  <si>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</si>
  <si>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</si>
  <si>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</si>
  <si>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</si>
  <si>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</si>
  <si>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</si>
  <si>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</si>
  <si>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</si>
  <si>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</si>
  <si>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</si>
  <si>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</si>
  <si>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</si>
  <si>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</si>
  <si>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</si>
  <si>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</si>
  <si>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</si>
  <si>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</si>
  <si>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</si>
  <si>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</si>
  <si>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</si>
  <si>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</si>
  <si>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</si>
  <si>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</si>
  <si>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</si>
  <si>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</si>
  <si>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</si>
  <si>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</si>
  <si>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</si>
  <si>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</si>
  <si>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</si>
  <si>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</si>
  <si>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</si>
  <si>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</si>
  <si>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</si>
  <si>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</si>
  <si>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</si>
  <si>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</si>
  <si>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</si>
  <si>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</si>
  <si>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</si>
  <si>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</si>
  <si>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</si>
  <si>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</si>
  <si>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</si>
  <si>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</si>
  <si>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</si>
  <si>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</si>
  <si>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</si>
  <si>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</si>
  <si>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</si>
  <si>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</si>
  <si>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</si>
  <si>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</si>
  <si>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</si>
  <si>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</si>
  <si>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</si>
  <si>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</si>
  <si>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</si>
  <si>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</si>
  <si>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</si>
  <si>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</si>
  <si>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</si>
  <si>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</si>
  <si>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</si>
  <si>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</si>
  <si>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</si>
  <si>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</si>
  <si>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</si>
  <si>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</si>
  <si>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</si>
  <si>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</si>
  <si>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</si>
  <si>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</si>
  <si>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</si>
  <si>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</si>
  <si>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</si>
  <si>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</si>
  <si>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</si>
  <si>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</si>
  <si>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</si>
  <si>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</si>
  <si>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</si>
  <si>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</si>
  <si>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</si>
  <si>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</si>
  <si>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</si>
  <si>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</si>
  <si>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</si>
  <si>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</si>
  <si>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</si>
  <si>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</si>
  <si>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</si>
  <si>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</si>
  <si>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</si>
  <si>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</si>
  <si>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</si>
  <si>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</si>
  <si>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</si>
  <si>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</si>
  <si>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</si>
  <si>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</si>
  <si>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</si>
  <si>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</si>
  <si>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</si>
  <si>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</si>
  <si>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</si>
  <si>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</si>
  <si>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</si>
  <si>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</si>
  <si>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</si>
  <si>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</si>
  <si>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</si>
  <si>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</si>
  <si>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</si>
  <si>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</si>
  <si>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</si>
  <si>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</si>
  <si>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</si>
  <si>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</si>
  <si>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</si>
  <si>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</si>
  <si>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</si>
  <si>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</si>
  <si>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</si>
  <si>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</si>
  <si>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</si>
  <si>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</si>
  <si>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</si>
  <si>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</si>
  <si>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</si>
  <si>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</si>
  <si>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</si>
  <si>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</si>
  <si>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</si>
  <si>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</si>
  <si>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</si>
  <si>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</si>
  <si>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</si>
  <si>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</si>
  <si>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</si>
  <si>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</si>
  <si>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</si>
  <si>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</si>
  <si>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</si>
  <si>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</si>
  <si>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</si>
  <si>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</si>
  <si>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</si>
  <si>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</si>
  <si>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</si>
  <si>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</si>
  <si>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</si>
  <si>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</si>
  <si>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</si>
  <si>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</si>
  <si>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</si>
  <si>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</si>
  <si>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</si>
  <si>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</si>
  <si>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</si>
  <si>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</si>
  <si>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</si>
  <si>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</si>
  <si>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</si>
  <si>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</si>
  <si>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</si>
  <si>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</si>
  <si>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</si>
  <si>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</si>
  <si>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</si>
  <si>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</si>
  <si>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</si>
  <si>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</si>
  <si>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</si>
  <si>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</si>
  <si>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</si>
  <si>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</si>
  <si>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</si>
  <si>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</si>
  <si>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</si>
  <si>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</si>
  <si>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</si>
  <si>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</si>
  <si>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</si>
  <si>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</si>
  <si>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</si>
  <si>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</si>
  <si>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</si>
  <si>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</si>
  <si>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</si>
  <si>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</si>
  <si>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</si>
  <si>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</si>
  <si>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</si>
  <si>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</si>
  <si>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</si>
  <si>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</si>
  <si>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</si>
  <si>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</si>
  <si>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</si>
  <si>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</si>
  <si>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</si>
  <si>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</si>
  <si>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</si>
  <si>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</si>
  <si>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</si>
  <si>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</si>
  <si>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</si>
  <si>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</si>
  <si>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</si>
  <si>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</si>
  <si>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</si>
  <si>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</si>
  <si>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</si>
  <si>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</si>
  <si>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</si>
  <si>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</si>
  <si>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</si>
  <si>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</si>
  <si>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</si>
  <si>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</si>
  <si>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</si>
  <si>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</si>
  <si>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</si>
  <si>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</si>
  <si>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</si>
  <si>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</si>
  <si>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</si>
  <si>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</si>
  <si>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</si>
  <si>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</si>
  <si>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</si>
  <si>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</si>
  <si>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</si>
  <si>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</si>
  <si>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</si>
  <si>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</si>
  <si>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</si>
  <si>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</si>
  <si>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</si>
  <si>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</si>
  <si>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</si>
  <si>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</si>
  <si>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</si>
  <si>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</si>
  <si>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</si>
  <si>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</si>
  <si>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</si>
  <si>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</si>
  <si>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</si>
  <si>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</si>
  <si>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</si>
  <si>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</si>
  <si>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</si>
  <si>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</si>
  <si>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</si>
  <si>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</si>
  <si>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</si>
  <si>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</si>
  <si>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</si>
  <si>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</si>
  <si>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</si>
  <si>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</si>
  <si>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</si>
  <si>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</si>
  <si>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</si>
  <si>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</si>
  <si>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</si>
  <si>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</si>
  <si>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</si>
  <si>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</si>
  <si>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</si>
  <si>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</si>
  <si>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</si>
  <si>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</si>
  <si>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</si>
  <si>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</si>
  <si>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</si>
  <si>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</si>
  <si>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</si>
  <si>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</si>
  <si>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</si>
  <si>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</si>
  <si>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</si>
  <si>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</si>
  <si>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</si>
  <si>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</si>
  <si>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</si>
  <si>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</si>
  <si>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</si>
  <si>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</si>
  <si>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</si>
  <si>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</si>
  <si>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</si>
  <si>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</si>
  <si>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</si>
  <si>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</si>
  <si>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</si>
  <si>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</si>
  <si>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</si>
  <si>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</si>
  <si>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</si>
  <si>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</si>
  <si>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</si>
  <si>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</si>
  <si>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</si>
  <si>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</si>
  <si>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</si>
  <si>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</si>
  <si>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</si>
  <si>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</si>
  <si>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</si>
  <si>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</si>
  <si>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</si>
  <si>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</si>
  <si>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</si>
  <si>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</si>
  <si>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</si>
  <si>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</si>
  <si>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</si>
  <si>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</si>
  <si>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</si>
  <si>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</si>
  <si>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</si>
  <si>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</si>
  <si>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</si>
  <si>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</si>
  <si>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</si>
  <si>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</si>
  <si>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</si>
  <si>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</si>
  <si>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</si>
  <si>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</si>
  <si>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</si>
  <si>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</si>
  <si>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</si>
  <si>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</si>
  <si>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</si>
  <si>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</si>
  <si>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</si>
  <si>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</si>
  <si>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</si>
  <si>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</si>
  <si>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</si>
  <si>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</si>
  <si>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</si>
  <si>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</si>
  <si>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</si>
  <si>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</si>
  <si>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</si>
  <si>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</si>
  <si>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</si>
  <si>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</si>
  <si>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</si>
  <si>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</si>
  <si>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</si>
  <si>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</si>
  <si>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</si>
  <si>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</si>
  <si>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</si>
  <si>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</si>
  <si>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</si>
  <si>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</si>
  <si>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</si>
  <si>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</si>
  <si>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</si>
  <si>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</si>
  <si>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</si>
  <si>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</si>
  <si>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</si>
  <si>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</si>
  <si>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</si>
  <si>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</si>
  <si>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</si>
  <si>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</si>
  <si>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</si>
  <si>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</si>
  <si>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</si>
  <si>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</si>
  <si>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</si>
  <si>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</si>
  <si>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</si>
  <si>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</si>
  <si>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</si>
  <si>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</si>
  <si>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</si>
  <si>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</si>
  <si>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</si>
  <si>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</si>
  <si>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</si>
  <si>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</si>
  <si>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</si>
  <si>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</si>
  <si>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</si>
  <si>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</si>
  <si>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</si>
  <si>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</si>
  <si>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</si>
  <si>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</si>
  <si>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</si>
  <si>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</si>
  <si>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</si>
  <si>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</si>
  <si>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</si>
  <si>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</si>
  <si>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</si>
  <si>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</si>
  <si>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</si>
  <si>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</si>
  <si>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</si>
  <si>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</si>
  <si>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</si>
  <si>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</si>
  <si>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</si>
  <si>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</si>
  <si>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</si>
  <si>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</si>
  <si>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</si>
  <si>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</si>
  <si>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</si>
  <si>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</si>
  <si>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</si>
  <si>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</si>
  <si>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</si>
  <si>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</si>
  <si>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</si>
  <si>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</si>
  <si>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</si>
  <si>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</si>
  <si>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</si>
  <si>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</si>
  <si>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</si>
  <si>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</si>
  <si>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</si>
  <si>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</si>
  <si>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</si>
  <si>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</si>
  <si>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</si>
  <si>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</si>
  <si>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</si>
  <si>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</si>
  <si>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</si>
  <si>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</si>
  <si>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</si>
  <si>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</si>
  <si>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</si>
  <si>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</si>
  <si>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</si>
  <si>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</si>
  <si>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</si>
  <si>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</si>
  <si>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</si>
  <si>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</si>
  <si>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</si>
  <si>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</si>
  <si>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</si>
  <si>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</si>
  <si>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</si>
  <si>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</si>
  <si>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</si>
  <si>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</si>
  <si>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</si>
  <si>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</si>
  <si>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</si>
  <si>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</si>
  <si>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</si>
  <si>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</si>
  <si>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</si>
  <si>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</si>
  <si>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</si>
  <si>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</si>
  <si>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</si>
  <si>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</si>
  <si>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</si>
  <si>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</si>
  <si>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</si>
  <si>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</si>
  <si>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</si>
  <si>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</si>
  <si>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</si>
  <si>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</si>
  <si>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</si>
  <si>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</si>
  <si>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</si>
  <si>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</si>
  <si>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</si>
  <si>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</si>
  <si>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</si>
  <si>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</si>
  <si>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</si>
  <si>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</si>
  <si>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</si>
  <si>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</si>
  <si>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</si>
  <si>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</si>
  <si>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</si>
  <si>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</si>
  <si>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</si>
  <si>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</si>
  <si>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</si>
  <si>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</si>
  <si>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</si>
  <si>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</si>
  <si>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</si>
  <si>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</si>
  <si>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</si>
  <si>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</si>
  <si>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</si>
  <si>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</si>
  <si>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</si>
  <si>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</si>
  <si>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</si>
  <si>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</si>
  <si>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</si>
  <si>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</si>
  <si>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</si>
  <si>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</si>
  <si>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</si>
  <si>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</si>
  <si>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</si>
  <si>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</si>
  <si>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</si>
  <si>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</si>
  <si>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</si>
  <si>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</si>
  <si>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</si>
  <si>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</si>
  <si>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</si>
  <si>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</si>
  <si>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</si>
  <si>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</si>
  <si>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</si>
  <si>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</si>
  <si>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</si>
  <si>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</si>
  <si>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</si>
  <si>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</si>
  <si>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</si>
  <si>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</si>
  <si>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</si>
  <si>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</si>
  <si>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</si>
  <si>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</si>
  <si>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</si>
  <si>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</si>
  <si>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</si>
  <si>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</si>
  <si>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</si>
  <si>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</si>
  <si>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</si>
  <si>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</si>
  <si>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</si>
  <si>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</si>
  <si>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</si>
  <si>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</si>
  <si>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</si>
  <si>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</si>
  <si>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</si>
  <si>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</si>
  <si>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</si>
  <si>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</si>
  <si>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</si>
  <si>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</si>
  <si>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</si>
  <si>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</si>
  <si>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</si>
  <si>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</si>
  <si>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</si>
  <si>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</si>
  <si>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</si>
  <si>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</si>
  <si>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</si>
  <si>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</si>
  <si>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</si>
  <si>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</si>
  <si>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</si>
  <si>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</si>
  <si>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</si>
  <si>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</si>
  <si>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</si>
  <si>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</si>
  <si>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</si>
  <si>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</si>
  <si>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</si>
  <si>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</si>
  <si>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</si>
  <si>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</si>
  <si>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</si>
  <si>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</si>
  <si>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</si>
  <si>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</si>
  <si>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</si>
  <si>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</si>
  <si>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</si>
  <si>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</si>
  <si>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</si>
  <si>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</si>
  <si>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</si>
  <si>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</si>
  <si>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</si>
  <si>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</si>
  <si>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</si>
  <si>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</si>
  <si>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</si>
  <si>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</si>
  <si>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</si>
  <si>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</si>
  <si>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</si>
  <si>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</si>
  <si>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</si>
  <si>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</si>
  <si>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</si>
  <si>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</si>
  <si>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</si>
  <si>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</si>
  <si>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</si>
  <si>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</si>
  <si>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</si>
  <si>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</si>
  <si>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</si>
  <si>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</si>
  <si>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</si>
  <si>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</si>
  <si>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</si>
  <si>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</si>
  <si>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</si>
  <si>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</si>
  <si>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</si>
  <si>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</si>
  <si>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</si>
  <si>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</si>
  <si>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</si>
  <si>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</si>
  <si>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</si>
  <si>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</si>
  <si>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</si>
  <si>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</si>
  <si>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</si>
  <si>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</si>
  <si>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</si>
  <si>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</si>
  <si>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</si>
  <si>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</si>
  <si>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</si>
  <si>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</si>
  <si>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</si>
  <si>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</si>
  <si>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</si>
  <si>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</si>
  <si>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</si>
  <si>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</si>
  <si>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</si>
  <si>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</si>
  <si>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</si>
  <si>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</si>
  <si>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</si>
  <si>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</si>
  <si>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</si>
  <si>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</si>
  <si>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</si>
  <si>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</si>
  <si>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</si>
  <si>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</si>
  <si>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</si>
  <si>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</si>
  <si>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</si>
  <si>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</si>
  <si>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</si>
  <si>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</si>
  <si>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</si>
  <si>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</si>
  <si>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</si>
  <si>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</si>
  <si>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</si>
  <si>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</si>
  <si>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</si>
  <si>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</si>
  <si>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</si>
  <si>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</si>
  <si>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</si>
  <si>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</si>
  <si>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</si>
  <si>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</si>
  <si>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</si>
  <si>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</si>
  <si>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</si>
  <si>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</si>
  <si>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</si>
  <si>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</si>
  <si>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</si>
  <si>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</si>
  <si>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</si>
  <si>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</si>
  <si>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</si>
  <si>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</si>
  <si>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</si>
  <si>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</si>
  <si>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</si>
  <si>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</si>
  <si>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</si>
  <si>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</si>
  <si>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</si>
  <si>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</si>
  <si>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</si>
  <si>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</si>
  <si>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</si>
  <si>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</si>
  <si>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</si>
  <si>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</si>
  <si>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</si>
  <si>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</si>
  <si>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</si>
  <si>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</si>
  <si>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</si>
  <si>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</si>
  <si>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</si>
  <si>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</si>
  <si>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</si>
  <si>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</si>
  <si>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</si>
  <si>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</si>
  <si>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</si>
  <si>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</si>
  <si>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</si>
  <si>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</si>
  <si>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</si>
  <si>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</si>
  <si>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</si>
  <si>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</si>
  <si>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</si>
  <si>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</si>
  <si>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</si>
  <si>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</si>
  <si>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</si>
  <si>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</si>
  <si>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</si>
  <si>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</si>
  <si>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</si>
  <si>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</si>
  <si>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</si>
  <si>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</si>
  <si>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</si>
  <si>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</si>
  <si>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</si>
  <si>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</si>
  <si>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</si>
  <si>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</si>
  <si>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</si>
  <si>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</si>
  <si>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</si>
  <si>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</si>
  <si>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</si>
  <si>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</si>
  <si>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</si>
  <si>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</si>
  <si>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</si>
  <si>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</si>
  <si>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</si>
  <si>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</si>
  <si>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</si>
  <si>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</si>
  <si>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</si>
  <si>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</si>
  <si>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</si>
  <si>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</si>
  <si>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</si>
  <si>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</si>
  <si>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</si>
  <si>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</si>
  <si>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</si>
  <si>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</si>
  <si>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</si>
  <si>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</si>
  <si>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</si>
  <si>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</si>
  <si>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</si>
  <si>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</si>
  <si>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</si>
  <si>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</si>
  <si>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</si>
  <si>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</si>
  <si>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</si>
  <si>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</si>
  <si>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</si>
  <si>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</si>
  <si>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</si>
  <si>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</si>
  <si>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</si>
  <si>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</si>
  <si>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</si>
  <si>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</si>
  <si>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</si>
  <si>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</si>
  <si>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</si>
  <si>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</si>
  <si>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</si>
  <si>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</si>
  <si>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</si>
  <si>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</si>
  <si>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</si>
  <si>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</si>
  <si>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</si>
  <si>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</si>
  <si>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</si>
  <si>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</si>
  <si>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</si>
  <si>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</si>
  <si>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</si>
  <si>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</si>
  <si>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</si>
  <si>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</si>
  <si>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</si>
  <si>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</si>
  <si>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</si>
  <si>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</si>
  <si>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</si>
  <si>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</si>
  <si>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</si>
  <si>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</si>
  <si>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</si>
  <si>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</si>
  <si>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</si>
  <si>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</si>
  <si>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</si>
  <si>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</si>
  <si>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</si>
  <si>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</si>
  <si>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</si>
  <si>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</si>
  <si>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</si>
  <si>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</si>
  <si>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</si>
  <si>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</si>
  <si>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</si>
  <si>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</si>
  <si>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</si>
  <si>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</si>
  <si>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</si>
  <si>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</si>
  <si>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</si>
  <si>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</si>
  <si>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</si>
  <si>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</si>
  <si>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</si>
  <si>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</si>
  <si>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</si>
  <si>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</si>
  <si>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</si>
  <si>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</si>
  <si>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</si>
  <si>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</si>
  <si>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</si>
  <si>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</si>
  <si>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</si>
  <si>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</si>
  <si>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</si>
  <si>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</si>
  <si>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</si>
  <si>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</si>
  <si>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</si>
  <si>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</si>
  <si>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</si>
  <si>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</si>
  <si>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</si>
  <si>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</si>
  <si>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</si>
  <si>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</si>
  <si>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</si>
  <si>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</si>
  <si>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</si>
  <si>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</si>
  <si>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</si>
  <si>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</si>
  <si>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</si>
  <si>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</si>
  <si>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</si>
  <si>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</si>
  <si>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</si>
  <si>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</si>
  <si>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</si>
  <si>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</si>
  <si>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</si>
  <si>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</si>
  <si>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</si>
  <si>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</si>
  <si>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</si>
  <si>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</si>
  <si>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</si>
  <si>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</si>
  <si>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</si>
  <si>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</si>
  <si>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</si>
  <si>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</si>
  <si>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</si>
  <si>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</si>
  <si>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</si>
  <si>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</si>
  <si>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</si>
  <si>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</si>
  <si>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</si>
  <si>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</si>
  <si>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</si>
  <si>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</si>
  <si>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</si>
  <si>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</si>
  <si>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</si>
  <si>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</si>
  <si>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</si>
  <si>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</si>
  <si>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</si>
  <si>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</si>
  <si>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</si>
  <si>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</si>
  <si>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</si>
  <si>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</si>
  <si>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</si>
  <si>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</si>
  <si>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</si>
  <si>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</si>
  <si>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</si>
  <si>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</si>
  <si>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</si>
  <si>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</si>
  <si>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</si>
  <si>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</si>
  <si>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</si>
  <si>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</si>
  <si>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</si>
  <si>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</si>
  <si>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</si>
  <si>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</si>
  <si>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</si>
  <si>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</si>
  <si>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</si>
  <si>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</si>
  <si>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</si>
  <si>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</si>
  <si>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</si>
  <si>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</si>
  <si>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</si>
  <si>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</si>
  <si>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</si>
  <si>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</si>
  <si>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</si>
  <si>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</si>
  <si>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</si>
  <si>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</si>
  <si>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</si>
  <si>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</si>
  <si>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</si>
  <si>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</si>
  <si>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</si>
  <si>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</si>
  <si>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</si>
  <si>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</si>
  <si>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</si>
  <si>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</si>
  <si>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</si>
  <si>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</si>
  <si>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</si>
  <si>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</si>
  <si>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</si>
  <si>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</si>
  <si>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</si>
  <si>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</si>
  <si>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</si>
  <si>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</si>
  <si>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</si>
  <si>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</si>
  <si>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</si>
  <si>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</si>
  <si>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</si>
  <si>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</si>
  <si>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</si>
  <si>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</si>
  <si>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</si>
  <si>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</si>
  <si>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</si>
  <si>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</si>
  <si>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</si>
  <si>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</si>
  <si>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</si>
  <si>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</si>
  <si>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</si>
  <si>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</si>
  <si>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</si>
  <si>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</si>
  <si>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</si>
  <si>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</si>
  <si>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</si>
  <si>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</si>
  <si>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</si>
  <si>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</si>
  <si>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</si>
  <si>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</si>
  <si>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</si>
  <si>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</si>
  <si>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</si>
  <si>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</si>
  <si>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</si>
  <si>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</si>
  <si>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</si>
  <si>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</si>
  <si>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</si>
  <si>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</si>
  <si>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</si>
  <si>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</si>
  <si>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</si>
  <si>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</si>
  <si>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</si>
  <si>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</si>
  <si>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</si>
  <si>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</si>
  <si>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</si>
  <si>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</si>
  <si>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</si>
  <si>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</si>
  <si>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</si>
  <si>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</si>
  <si>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</si>
  <si>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</si>
  <si>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</si>
  <si>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</si>
  <si>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</si>
  <si>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</si>
  <si>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</si>
  <si>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</si>
  <si>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</si>
  <si>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</si>
  <si>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</si>
  <si>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</si>
  <si>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</si>
  <si>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</si>
  <si>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</si>
  <si>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</si>
  <si>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</si>
  <si>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</si>
  <si>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</si>
  <si>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</si>
  <si>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</si>
  <si>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</si>
  <si>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</si>
  <si>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</si>
  <si>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</si>
  <si>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</si>
  <si>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</si>
  <si>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</si>
  <si>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</si>
  <si>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</si>
  <si>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</si>
  <si>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</si>
  <si>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</si>
  <si>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</si>
  <si>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</si>
  <si>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</si>
  <si>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</si>
  <si>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</si>
  <si>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</si>
  <si>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</si>
  <si>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</si>
  <si>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</si>
  <si>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</si>
  <si>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</si>
  <si>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</si>
  <si>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</si>
  <si>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</si>
  <si>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</si>
  <si>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</si>
  <si>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</si>
  <si>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</si>
  <si>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</si>
  <si>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</si>
  <si>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</si>
  <si>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</si>
  <si>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</si>
  <si>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</si>
  <si>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</si>
  <si>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</si>
  <si>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</si>
  <si>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</si>
  <si>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</si>
  <si>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</si>
  <si>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</si>
  <si>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</si>
  <si>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</si>
  <si>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</si>
  <si>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</si>
  <si>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</si>
  <si>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</si>
  <si>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</si>
  <si>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</si>
  <si>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</si>
  <si>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</si>
  <si>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</si>
  <si>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</si>
  <si>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</si>
  <si>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</si>
  <si>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</si>
  <si>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</si>
  <si>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</si>
  <si>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</si>
  <si>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</si>
  <si>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</si>
  <si>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</si>
  <si>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</si>
  <si>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</si>
  <si>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</si>
  <si>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</si>
  <si>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</si>
  <si>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</si>
  <si>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</si>
  <si>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</si>
  <si>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</si>
  <si>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</si>
  <si>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</si>
  <si>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</si>
  <si>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</si>
  <si>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</si>
  <si>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</si>
  <si>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</si>
  <si>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</si>
  <si>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</si>
  <si>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</si>
  <si>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</si>
  <si>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</si>
  <si>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</si>
  <si>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</si>
  <si>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</si>
  <si>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</si>
  <si>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</si>
  <si>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</si>
  <si>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</si>
  <si>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</si>
  <si>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</si>
  <si>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</si>
  <si>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</si>
  <si>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</si>
  <si>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</si>
  <si>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</si>
  <si>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</si>
  <si>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</si>
  <si>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</si>
  <si>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</si>
  <si>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</si>
  <si>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</si>
  <si>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</si>
  <si>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</si>
  <si>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</si>
  <si>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</si>
  <si>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</si>
  <si>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</si>
  <si>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</si>
  <si>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</si>
  <si>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</si>
  <si>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</si>
  <si>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</si>
  <si>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</si>
  <si>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</si>
  <si>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</si>
  <si>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</si>
  <si>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</si>
  <si>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</si>
  <si>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</si>
  <si>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</si>
  <si>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</si>
  <si>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</si>
  <si>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</si>
  <si>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</si>
  <si>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</si>
  <si>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</si>
  <si>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</si>
  <si>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</si>
  <si>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</si>
  <si>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</si>
  <si>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</si>
  <si>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</si>
  <si>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</si>
  <si>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</si>
  <si>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</si>
  <si>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</si>
  <si>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</si>
  <si>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</si>
  <si>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</si>
  <si>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</si>
  <si>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</si>
  <si>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</si>
  <si>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</si>
  <si>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</si>
  <si>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</si>
  <si>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</si>
  <si>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</si>
  <si>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</si>
  <si>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</si>
  <si>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</si>
  <si>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</si>
  <si>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</si>
  <si>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</si>
  <si>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</si>
  <si>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</si>
  <si>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</si>
  <si>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</si>
  <si>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</si>
  <si>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</si>
  <si>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</si>
  <si>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</si>
  <si>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</si>
  <si>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</si>
  <si>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</si>
  <si>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</si>
  <si>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</si>
  <si>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</si>
  <si>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</si>
  <si>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</si>
  <si>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</si>
  <si>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</si>
  <si>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</si>
  <si>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</si>
  <si>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</si>
  <si>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</si>
  <si>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</si>
  <si>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</si>
  <si>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</si>
  <si>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</si>
  <si>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</si>
  <si>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</si>
  <si>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</si>
  <si>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</si>
  <si>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</si>
  <si>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</si>
  <si>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</si>
  <si>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</si>
  <si>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</si>
  <si>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</si>
  <si>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</si>
  <si>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</si>
  <si>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</si>
  <si>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</si>
  <si>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</si>
  <si>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</si>
  <si>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</si>
  <si>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</si>
  <si>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</si>
  <si>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</si>
  <si>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</si>
  <si>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</si>
  <si>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</si>
  <si>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</si>
  <si>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</si>
  <si>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</si>
  <si>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</si>
  <si>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</si>
  <si>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</si>
  <si>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</si>
  <si>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</si>
  <si>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</si>
  <si>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</si>
  <si>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</si>
  <si>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</si>
  <si>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</si>
  <si>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</si>
  <si>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</si>
  <si>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</si>
  <si>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</si>
  <si>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</si>
  <si>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</si>
  <si>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</si>
  <si>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</si>
  <si>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</si>
  <si>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</si>
  <si>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</si>
  <si>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</si>
  <si>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</si>
  <si>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</si>
  <si>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</si>
  <si>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</si>
  <si>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</si>
  <si>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</si>
  <si>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</si>
  <si>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</si>
  <si>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</si>
  <si>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</si>
  <si>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</si>
  <si>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</si>
  <si>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</si>
  <si>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</si>
  <si>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</si>
  <si>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</si>
  <si>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</si>
  <si>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</si>
  <si>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</si>
  <si>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</si>
  <si>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</si>
  <si>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</si>
  <si>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</si>
  <si>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</si>
  <si>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</si>
  <si>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</si>
  <si>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</si>
  <si>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</si>
  <si>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</si>
  <si>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</si>
  <si>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</si>
  <si>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</si>
  <si>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</si>
  <si>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</si>
  <si>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</si>
  <si>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</si>
  <si>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</si>
  <si>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</si>
  <si>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</si>
  <si>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</si>
  <si>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</si>
  <si>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</si>
  <si>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</si>
  <si>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</si>
  <si>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</si>
  <si>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</si>
  <si>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</si>
  <si>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</si>
  <si>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</si>
  <si>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</si>
  <si>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</si>
  <si>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</si>
  <si>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</si>
  <si>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</si>
  <si>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</si>
  <si>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</si>
  <si>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</si>
  <si>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</si>
  <si>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</si>
  <si>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</si>
  <si>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</si>
  <si>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</si>
  <si>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</si>
  <si>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</si>
  <si>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</si>
  <si>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</si>
  <si>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</si>
  <si>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</si>
  <si>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</si>
  <si>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</si>
  <si>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</si>
  <si>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</si>
  <si>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</si>
  <si>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</si>
  <si>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</si>
  <si>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</si>
  <si>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</si>
  <si>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</si>
  <si>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</si>
  <si>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</si>
  <si>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</si>
  <si>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</si>
  <si>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</si>
  <si>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</si>
  <si>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</si>
  <si>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</si>
  <si>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</si>
  <si>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</si>
  <si>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</si>
  <si>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</si>
  <si>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</si>
  <si>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</si>
  <si>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</si>
  <si>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</si>
  <si>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</si>
  <si>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</si>
  <si>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</si>
  <si>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</si>
  <si>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</si>
  <si>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</si>
  <si>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</si>
  <si>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</si>
  <si>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</si>
  <si>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</si>
  <si>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</si>
  <si>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</si>
  <si>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</si>
  <si>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</si>
  <si>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</si>
  <si>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</si>
  <si>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</si>
  <si>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</si>
  <si>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</si>
  <si>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</si>
  <si>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</si>
  <si>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</si>
  <si>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</si>
  <si>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</si>
  <si>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</si>
  <si>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</si>
  <si>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</si>
  <si>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</si>
  <si>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</si>
  <si>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</si>
  <si>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</si>
  <si>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</si>
  <si>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</si>
  <si>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</si>
  <si>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</si>
  <si>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</si>
  <si>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</si>
  <si>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</si>
  <si>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</si>
  <si>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</si>
  <si>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</si>
  <si>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</si>
  <si>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</si>
  <si>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</si>
  <si>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</si>
  <si>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</si>
  <si>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</si>
  <si>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</si>
  <si>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</si>
  <si>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</si>
  <si>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</si>
  <si>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</si>
  <si>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</si>
  <si>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</si>
  <si>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</si>
  <si>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</si>
  <si>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</si>
  <si>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</si>
  <si>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</si>
  <si>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</si>
  <si>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</si>
  <si>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</si>
  <si>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</si>
  <si>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</si>
  <si>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</si>
  <si>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</si>
  <si>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</si>
  <si>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</si>
  <si>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</si>
  <si>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</si>
  <si>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</si>
  <si>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</si>
  <si>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</si>
  <si>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</si>
  <si>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</si>
  <si>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</si>
  <si>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</si>
  <si>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</si>
  <si>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</si>
  <si>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</si>
  <si>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</si>
  <si>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</si>
  <si>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</si>
  <si>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</si>
  <si>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</si>
  <si>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</si>
  <si>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</si>
  <si>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</si>
  <si>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</si>
  <si>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</si>
  <si>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</si>
  <si>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</si>
  <si>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</si>
  <si>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</si>
  <si>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</si>
  <si>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</si>
  <si>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</si>
  <si>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</si>
  <si>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</si>
  <si>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</si>
  <si>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</si>
  <si>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</si>
  <si>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</si>
  <si>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</si>
  <si>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</si>
  <si>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</si>
  <si>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</si>
  <si>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</si>
  <si>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</si>
  <si>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</si>
  <si>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</si>
  <si>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</si>
  <si>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</si>
  <si>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</si>
  <si>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</si>
  <si>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</si>
  <si>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</si>
  <si>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</si>
  <si>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</si>
  <si>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</si>
  <si>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</si>
  <si>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</si>
  <si>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</si>
  <si>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</si>
  <si>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</si>
  <si>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</si>
  <si>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</si>
  <si>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</si>
  <si>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</si>
  <si>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</si>
  <si>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</si>
  <si>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</si>
  <si>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</si>
  <si>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</si>
  <si>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</si>
  <si>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</si>
  <si>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</si>
  <si>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</si>
  <si>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</si>
  <si>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</si>
  <si>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</si>
  <si>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</si>
  <si>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</si>
  <si>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</si>
  <si>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</si>
  <si>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</si>
  <si>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</si>
  <si>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</si>
  <si>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</si>
  <si>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</si>
  <si>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</si>
  <si>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</si>
  <si>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</si>
  <si>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</si>
  <si>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</si>
  <si>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</si>
  <si>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</si>
  <si>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</si>
  <si>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</si>
  <si>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</si>
  <si>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</si>
  <si>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</si>
  <si>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</si>
  <si>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</si>
  <si>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</si>
  <si>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</si>
  <si>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</si>
  <si>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</si>
  <si>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</si>
  <si>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</si>
  <si>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</si>
  <si>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</si>
  <si>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</si>
  <si>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</si>
  <si>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</si>
  <si>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</si>
  <si>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</si>
  <si>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</si>
  <si>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</si>
  <si>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</si>
  <si>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</si>
  <si>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</si>
  <si>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</si>
  <si>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</si>
  <si>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</si>
  <si>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</si>
  <si>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</si>
  <si>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</si>
  <si>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</si>
  <si>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</si>
  <si>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</si>
  <si>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</si>
  <si>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</si>
  <si>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</si>
  <si>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</si>
  <si>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</si>
  <si>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</si>
  <si>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</si>
  <si>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</si>
  <si>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</si>
  <si>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</si>
  <si>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</si>
  <si>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</si>
  <si>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</si>
  <si>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</si>
  <si>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</si>
  <si>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</si>
  <si>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</si>
  <si>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</si>
  <si>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</si>
  <si>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</si>
  <si>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</si>
  <si>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</si>
  <si>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</si>
  <si>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</si>
  <si>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</si>
  <si>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</si>
  <si>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</si>
  <si>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</si>
  <si>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</si>
  <si>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</si>
  <si>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</si>
  <si>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</si>
  <si>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</si>
  <si>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</si>
  <si>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</si>
  <si>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</si>
  <si>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</si>
  <si>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</si>
  <si>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</si>
  <si>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</si>
  <si>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</si>
  <si>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</si>
  <si>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</si>
  <si>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</si>
  <si>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</si>
  <si>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</si>
  <si>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</si>
  <si>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</si>
  <si>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</si>
  <si>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</si>
  <si>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</si>
  <si>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</si>
  <si>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</si>
  <si>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</si>
  <si>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</si>
  <si>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</si>
  <si>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</si>
  <si>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</si>
  <si>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</si>
  <si>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</si>
  <si>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</si>
  <si>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</si>
  <si>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</si>
  <si>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</si>
  <si>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</si>
  <si>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</si>
  <si>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</si>
  <si>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</si>
  <si>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</si>
  <si>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</si>
  <si>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</si>
  <si>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</si>
  <si>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</si>
  <si>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</si>
  <si>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</si>
  <si>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</si>
  <si>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</si>
  <si>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</si>
  <si>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</si>
  <si>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</si>
  <si>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</si>
  <si>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</si>
  <si>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</si>
  <si>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</si>
  <si>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</si>
  <si>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</si>
  <si>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</si>
  <si>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</si>
  <si>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</si>
  <si>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</si>
  <si>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</si>
  <si>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</si>
  <si>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</si>
  <si>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</si>
  <si>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</si>
  <si>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</si>
  <si>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</si>
  <si>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</si>
  <si>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</si>
  <si>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</si>
  <si>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</si>
  <si>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</si>
  <si>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</si>
  <si>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</si>
  <si>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</si>
  <si>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</si>
  <si>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</si>
  <si>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</si>
  <si>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</si>
  <si>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</si>
  <si>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</si>
  <si>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</si>
  <si>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</si>
  <si>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</si>
  <si>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</si>
  <si>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</si>
  <si>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</si>
  <si>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</si>
  <si>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</si>
  <si>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</si>
  <si>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</si>
  <si>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</si>
  <si>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</si>
  <si>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</si>
  <si>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</si>
  <si>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</si>
  <si>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</si>
  <si>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</si>
  <si>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</si>
  <si>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</si>
  <si>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</si>
  <si>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</si>
  <si>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</si>
  <si>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</si>
  <si>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</si>
  <si>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</si>
  <si>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</si>
  <si>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</si>
  <si>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</si>
  <si>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</si>
  <si>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</si>
  <si>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</si>
  <si>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</si>
  <si>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</si>
  <si>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</si>
  <si>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</si>
  <si>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</si>
  <si>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</si>
  <si>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</si>
  <si>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</si>
  <si>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</si>
  <si>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</si>
  <si>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</si>
  <si>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</si>
  <si>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</si>
  <si>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</si>
  <si>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</si>
  <si>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</si>
  <si>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</si>
  <si>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</si>
  <si>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</si>
  <si>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</si>
  <si>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</si>
  <si>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</si>
  <si>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</si>
  <si>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</si>
  <si>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</si>
  <si>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</si>
  <si>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</si>
  <si>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</si>
  <si>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</si>
  <si>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</si>
  <si>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</si>
  <si>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</si>
  <si>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</si>
  <si>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</si>
  <si>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</si>
  <si>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</si>
  <si>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</si>
  <si>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</si>
  <si>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</si>
  <si>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</si>
  <si>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</si>
  <si>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</si>
  <si>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</si>
  <si>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</si>
  <si>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</si>
  <si>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</si>
  <si>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</si>
  <si>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</si>
  <si>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</si>
  <si>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</si>
  <si>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</si>
  <si>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</si>
  <si>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</si>
  <si>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</si>
  <si>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</si>
  <si>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</si>
  <si>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</si>
  <si>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</si>
  <si>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</si>
  <si>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</si>
  <si>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</si>
  <si>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</si>
  <si>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</si>
  <si>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</si>
  <si>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</si>
  <si>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</si>
  <si>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</si>
  <si>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</si>
  <si>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</si>
  <si>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</si>
  <si>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</si>
  <si>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</si>
  <si>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</si>
  <si>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</si>
  <si>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</si>
  <si>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</si>
  <si>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</si>
  <si>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</si>
  <si>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</si>
  <si>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</si>
  <si>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</si>
  <si>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</si>
  <si>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</si>
  <si>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</si>
  <si>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</si>
  <si>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</si>
  <si>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</si>
  <si>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</si>
  <si>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</si>
  <si>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</si>
  <si>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</si>
  <si>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</si>
  <si>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</si>
  <si>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</si>
  <si>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</si>
  <si>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</si>
  <si>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</si>
  <si>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</si>
  <si>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</si>
  <si>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</si>
  <si>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</si>
  <si>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</si>
  <si>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</si>
  <si>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</si>
  <si>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</si>
  <si>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</si>
  <si>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</si>
  <si>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</si>
  <si>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</si>
  <si>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</si>
  <si>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</si>
  <si>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</si>
  <si>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</si>
  <si>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</si>
  <si>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</si>
  <si>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</si>
  <si>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</si>
  <si>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</si>
  <si>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</si>
  <si>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</si>
  <si>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</si>
  <si>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</si>
  <si>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</si>
  <si>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</si>
  <si>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</si>
  <si>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</si>
  <si>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</si>
  <si>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</si>
  <si>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</si>
  <si>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</si>
  <si>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</si>
  <si>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</si>
  <si>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</si>
  <si>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</si>
  <si>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</si>
  <si>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</si>
  <si>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</si>
  <si>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</si>
  <si>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</si>
  <si>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</si>
  <si>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</si>
  <si>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</si>
  <si>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</si>
  <si>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</si>
  <si>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</si>
  <si>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</si>
  <si>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</si>
  <si>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</si>
  <si>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</si>
  <si>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</si>
  <si>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</si>
  <si>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</si>
  <si>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</si>
  <si>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</si>
  <si>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</si>
  <si>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</si>
  <si>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</si>
  <si>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</si>
  <si>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</si>
  <si>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</si>
  <si>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</si>
  <si>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</si>
  <si>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</si>
  <si>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</si>
  <si>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</si>
  <si>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</si>
  <si>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</si>
  <si>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</si>
  <si>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</si>
  <si>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</si>
  <si>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</si>
  <si>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</si>
  <si>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</si>
  <si>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</si>
  <si>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</si>
  <si>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</si>
  <si>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</si>
  <si>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</si>
  <si>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</si>
  <si>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</si>
  <si>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</si>
  <si>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</si>
  <si>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</si>
  <si>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</si>
  <si>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</si>
  <si>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</si>
  <si>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</si>
  <si>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</si>
  <si>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</si>
  <si>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</si>
  <si>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</si>
  <si>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</si>
  <si>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</si>
  <si>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</si>
  <si>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</si>
  <si>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</si>
  <si>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</si>
  <si>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</si>
  <si>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</si>
  <si>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</si>
  <si>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</si>
  <si>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</si>
  <si>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</si>
  <si>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</si>
  <si>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</si>
  <si>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</si>
  <si>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</si>
  <si>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</si>
  <si>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</si>
  <si>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</si>
  <si>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</si>
  <si>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</si>
  <si>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</si>
  <si>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</si>
  <si>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</si>
  <si>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</si>
  <si>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</si>
  <si>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</si>
  <si>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</si>
  <si>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</si>
  <si>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</si>
  <si>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</si>
  <si>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</si>
  <si>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</si>
  <si>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</si>
  <si>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</si>
  <si>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</si>
  <si>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</si>
  <si>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</si>
  <si>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</si>
  <si>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</si>
  <si>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</si>
  <si>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</si>
  <si>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</si>
  <si>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</si>
  <si>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</si>
  <si>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</si>
  <si>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</si>
  <si>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</si>
  <si>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</si>
  <si>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</si>
  <si>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</si>
  <si>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</si>
  <si>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</si>
  <si>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</si>
  <si>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</si>
  <si>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</si>
  <si>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</si>
  <si>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</si>
  <si>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</si>
  <si>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</si>
  <si>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</si>
  <si>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</si>
  <si>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</si>
  <si>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</si>
  <si>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</si>
  <si>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</si>
  <si>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</si>
  <si>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</si>
  <si>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</si>
  <si>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</si>
  <si>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</si>
  <si>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</si>
  <si>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</si>
  <si>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</si>
  <si>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</si>
  <si>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</si>
  <si>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</si>
  <si>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</si>
  <si>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</si>
  <si>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</si>
  <si>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</si>
  <si>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</si>
  <si>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</si>
  <si>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</si>
  <si>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</si>
  <si>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</si>
  <si>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</si>
  <si>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</si>
  <si>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</si>
  <si>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</si>
  <si>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</si>
  <si>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</si>
  <si>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</si>
  <si>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</si>
  <si>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</si>
  <si>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</si>
  <si>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</si>
  <si>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</si>
  <si>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</si>
  <si>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</si>
  <si>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</si>
  <si>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</si>
  <si>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</si>
  <si>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</si>
  <si>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</si>
  <si>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</si>
  <si>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</si>
  <si>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</si>
  <si>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</si>
  <si>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</si>
  <si>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</si>
  <si>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</si>
  <si>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</si>
  <si>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</si>
  <si>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</si>
  <si>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</si>
  <si>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</si>
  <si>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</si>
  <si>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</si>
  <si>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</si>
  <si>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</si>
  <si>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</si>
  <si>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</si>
  <si>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</si>
  <si>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</si>
  <si>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</si>
  <si>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</si>
  <si>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</si>
  <si>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</si>
  <si>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</si>
  <si>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</si>
  <si>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</si>
  <si>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</si>
  <si>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</si>
  <si>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</si>
  <si>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</si>
  <si>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</si>
  <si>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</si>
  <si>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</si>
  <si>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</si>
  <si>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</si>
  <si>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</si>
  <si>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</si>
  <si>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</si>
  <si>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</si>
  <si>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</si>
  <si>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</si>
  <si>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</si>
  <si>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</si>
  <si>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</si>
  <si>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</si>
  <si>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</si>
  <si>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</si>
  <si>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</si>
  <si>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</si>
  <si>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</si>
  <si>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</si>
  <si>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</si>
  <si>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</si>
  <si>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</si>
  <si>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</si>
  <si>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</si>
  <si>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</si>
  <si>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</si>
  <si>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</si>
  <si>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</si>
  <si>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</si>
  <si>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</si>
  <si>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</si>
  <si>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</si>
  <si>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</si>
  <si>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</si>
  <si>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</si>
  <si>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</si>
  <si>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</si>
  <si>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</si>
  <si>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</si>
  <si>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</si>
  <si>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</si>
  <si>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</si>
  <si>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</si>
  <si>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</si>
  <si>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</si>
  <si>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</si>
  <si>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</si>
  <si>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</si>
  <si>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</si>
  <si>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</si>
  <si>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</si>
  <si>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</si>
  <si>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</si>
  <si>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</si>
  <si>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</si>
  <si>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</si>
  <si>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</si>
  <si>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</si>
  <si>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</si>
  <si>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</si>
  <si>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</si>
  <si>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</si>
  <si>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</si>
  <si>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</si>
  <si>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</si>
  <si>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</si>
  <si>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</si>
  <si>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</si>
  <si>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</si>
  <si>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</si>
  <si>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</si>
  <si>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</si>
  <si>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</si>
  <si>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</si>
  <si>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</si>
  <si>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</si>
  <si>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</si>
  <si>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</si>
  <si>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</si>
  <si>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</si>
  <si>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</si>
  <si>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</si>
  <si>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</si>
  <si>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</si>
  <si>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</si>
  <si>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</si>
  <si>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</si>
  <si>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</si>
  <si>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</si>
  <si>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</si>
  <si>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</si>
  <si>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</si>
  <si>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</si>
  <si>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</si>
  <si>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</si>
  <si>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</si>
  <si>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</si>
  <si>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</si>
  <si>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</si>
  <si>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</si>
  <si>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</si>
  <si>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</si>
  <si>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</si>
  <si>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</si>
  <si>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</si>
  <si>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</si>
  <si>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</si>
  <si>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</si>
  <si>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</si>
  <si>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</si>
  <si>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</si>
  <si>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</si>
  <si>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</si>
  <si>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</si>
  <si>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</si>
  <si>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</si>
  <si>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</si>
  <si>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</si>
  <si>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</si>
  <si>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</si>
  <si>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</si>
  <si>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</si>
  <si>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</si>
  <si>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</si>
  <si>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</si>
  <si>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</si>
  <si>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</si>
  <si>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</si>
  <si>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</si>
  <si>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</si>
  <si>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</si>
  <si>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</si>
  <si>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</si>
  <si>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</si>
  <si>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</si>
  <si>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</si>
  <si>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</si>
  <si>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</si>
  <si>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</si>
  <si>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</si>
  <si>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</si>
  <si>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</si>
  <si>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</si>
  <si>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</si>
  <si>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</si>
  <si>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</si>
  <si>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</si>
  <si>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</si>
  <si>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</si>
  <si>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</si>
  <si>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</si>
  <si>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</si>
  <si>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</si>
  <si>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</si>
  <si>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</si>
  <si>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</si>
  <si>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</si>
  <si>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</si>
  <si>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</si>
  <si>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</si>
  <si>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</si>
  <si>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</si>
  <si>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</si>
  <si>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</si>
  <si>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</si>
  <si>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</si>
  <si>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</si>
  <si>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</si>
  <si>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</si>
  <si>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</si>
  <si>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</si>
  <si>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</si>
  <si>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</si>
  <si>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</si>
  <si>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</si>
  <si>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</si>
  <si>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</si>
  <si>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</si>
  <si>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</si>
  <si>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</si>
  <si>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</si>
  <si>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</si>
  <si>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</si>
  <si>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</si>
  <si>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</si>
  <si>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</si>
  <si>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</si>
  <si>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</si>
  <si>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</si>
  <si>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</si>
  <si>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</si>
  <si>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</si>
  <si>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</si>
  <si>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</si>
  <si>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</si>
  <si>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</si>
  <si>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</si>
  <si>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</si>
  <si>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</si>
  <si>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</si>
  <si>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</si>
  <si>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</si>
  <si>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</si>
  <si>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</si>
  <si>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</si>
  <si>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</si>
  <si>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</si>
  <si>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</si>
  <si>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</si>
  <si>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</si>
  <si>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</si>
  <si>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</si>
  <si>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</si>
  <si>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</si>
  <si>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</si>
  <si>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</si>
  <si>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</si>
  <si>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</si>
  <si>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</si>
  <si>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</si>
  <si>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</si>
  <si>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</si>
  <si>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</si>
  <si>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</si>
  <si>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</si>
  <si>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</si>
  <si>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</si>
  <si>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</si>
  <si>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</si>
  <si>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</si>
  <si>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</si>
  <si>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</si>
  <si>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</si>
  <si>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</si>
  <si>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</si>
  <si>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</si>
  <si>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</si>
  <si>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</si>
  <si>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</si>
  <si>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</si>
  <si>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</si>
  <si>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</si>
  <si>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</si>
  <si>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</si>
  <si>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</si>
  <si>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</si>
  <si>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</si>
  <si>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</si>
  <si>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</si>
  <si>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</si>
  <si>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</si>
  <si>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</si>
  <si>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</si>
  <si>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</si>
  <si>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</si>
  <si>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</si>
  <si>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</si>
  <si>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</si>
  <si>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</si>
  <si>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</si>
  <si>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</si>
  <si>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</si>
  <si>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</si>
  <si>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</si>
  <si>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</si>
  <si>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</si>
  <si>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</si>
  <si>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</si>
  <si>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</si>
  <si>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</si>
  <si>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</si>
  <si>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</si>
  <si>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</si>
  <si>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</si>
  <si>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</si>
  <si>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</si>
  <si>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</si>
  <si>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</si>
  <si>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</si>
  <si>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</si>
  <si>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</si>
  <si>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</si>
  <si>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</si>
  <si>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</si>
  <si>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</si>
  <si>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</si>
  <si>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</si>
  <si>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</si>
  <si>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</si>
  <si>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</si>
  <si>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</si>
  <si>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</si>
  <si>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</si>
  <si>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</si>
  <si>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</si>
  <si>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</si>
  <si>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</si>
  <si>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</si>
  <si>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</si>
  <si>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</si>
  <si>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</si>
  <si>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</si>
  <si>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</si>
  <si>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</si>
  <si>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</si>
  <si>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</si>
  <si>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</si>
  <si>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</si>
  <si>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</si>
  <si>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</si>
  <si>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</si>
  <si>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</si>
  <si>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</si>
  <si>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</si>
  <si>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</si>
  <si>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</si>
  <si>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</si>
  <si>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</si>
  <si>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</si>
  <si>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</si>
  <si>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</si>
  <si>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</si>
  <si>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</si>
  <si>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</si>
  <si>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</si>
  <si>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</si>
  <si>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</si>
  <si>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</si>
  <si>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</si>
  <si>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</si>
  <si>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</si>
  <si>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</si>
  <si>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</si>
  <si>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</si>
  <si>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</si>
  <si>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</si>
  <si>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</si>
  <si>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</si>
  <si>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</si>
  <si>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</si>
  <si>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</si>
  <si>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</si>
  <si>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</si>
  <si>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</si>
  <si>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</si>
  <si>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</si>
  <si>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</si>
  <si>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</si>
  <si>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</si>
  <si>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</si>
  <si>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</si>
  <si>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</si>
  <si>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</si>
  <si>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</si>
  <si>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</si>
  <si>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</si>
  <si>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</si>
  <si>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</si>
  <si>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</si>
  <si>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</si>
  <si>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</si>
  <si>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</si>
  <si>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</si>
  <si>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</si>
  <si>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</si>
  <si>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</si>
  <si>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</si>
  <si>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</si>
  <si>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</si>
  <si>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</si>
  <si>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</si>
  <si>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</si>
  <si>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</si>
  <si>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</si>
  <si>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</si>
  <si>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</si>
  <si>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</si>
  <si>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</si>
  <si>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</si>
  <si>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</si>
  <si>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</si>
  <si>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</si>
  <si>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</si>
  <si>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</si>
  <si>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</si>
  <si>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</si>
  <si>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</si>
  <si>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</si>
  <si>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</si>
  <si>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</si>
  <si>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</si>
  <si>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</si>
  <si>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</si>
  <si>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</si>
  <si>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</si>
  <si>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</si>
  <si>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</si>
  <si>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</si>
  <si>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</si>
  <si>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</si>
  <si>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</si>
  <si>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</si>
  <si>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</si>
  <si>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</si>
  <si>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</si>
  <si>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</si>
  <si>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</si>
  <si>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</si>
  <si>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</si>
  <si>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</si>
  <si>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</si>
  <si>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</si>
  <si>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</si>
  <si>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</si>
  <si>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</si>
  <si>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</si>
  <si>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</si>
  <si>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</si>
  <si>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</si>
  <si>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</si>
  <si>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</si>
  <si>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</si>
  <si>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</si>
  <si>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</si>
  <si>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</si>
  <si>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</si>
  <si>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</si>
  <si>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</si>
  <si>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</si>
  <si>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</si>
  <si>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</si>
  <si>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</si>
  <si>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</si>
  <si>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</si>
  <si>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</si>
  <si>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</si>
  <si>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</si>
  <si>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</si>
  <si>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</si>
  <si>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</si>
  <si>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</si>
  <si>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</si>
  <si>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</si>
  <si>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</si>
  <si>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</si>
  <si>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</si>
  <si>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</si>
  <si>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</si>
  <si>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</si>
  <si>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</si>
  <si>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</si>
  <si>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</si>
  <si>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</si>
  <si>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</si>
  <si>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</si>
  <si>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</si>
  <si>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</si>
  <si>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</si>
  <si>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</si>
  <si>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</si>
  <si>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</si>
  <si>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</si>
  <si>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</si>
  <si>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</si>
  <si>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</si>
  <si>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</si>
  <si>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</si>
  <si>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</si>
  <si>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</si>
  <si>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</si>
  <si>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</si>
  <si>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</si>
  <si>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</si>
  <si>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</si>
  <si>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</si>
  <si>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</si>
  <si>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</si>
  <si>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</si>
  <si>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</si>
  <si>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</si>
  <si>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</si>
  <si>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</si>
  <si>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</si>
  <si>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</si>
  <si>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</si>
  <si>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</si>
  <si>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</si>
  <si>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</si>
  <si>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</si>
  <si>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</si>
  <si>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</si>
  <si>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</si>
  <si>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</si>
  <si>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</si>
  <si>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</si>
  <si>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</si>
  <si>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</si>
  <si>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</si>
  <si>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</si>
  <si>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</si>
  <si>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</si>
  <si>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</si>
  <si>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</si>
  <si>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</si>
  <si>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</si>
  <si>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</si>
  <si>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</si>
  <si>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</si>
  <si>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</si>
  <si>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</si>
  <si>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</si>
  <si>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</si>
  <si>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</si>
  <si>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</si>
  <si>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</si>
  <si>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</si>
  <si>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</si>
  <si>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</si>
  <si>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</si>
  <si>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</si>
  <si>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</si>
  <si>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</si>
  <si>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</si>
  <si>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</si>
  <si>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</si>
  <si>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</si>
  <si>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</si>
  <si>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</si>
  <si>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</si>
  <si>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</si>
  <si>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</si>
  <si>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</si>
  <si>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</si>
  <si>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</si>
  <si>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</si>
  <si>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</si>
  <si>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</si>
  <si>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</si>
  <si>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</si>
  <si>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</si>
  <si>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</si>
  <si>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</si>
  <si>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</si>
  <si>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</si>
  <si>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</si>
  <si>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</si>
  <si>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</si>
  <si>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</si>
  <si>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</si>
  <si>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</si>
  <si>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</si>
  <si>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</si>
  <si>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</si>
  <si>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</si>
  <si>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</si>
  <si>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</si>
  <si>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</si>
  <si>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</si>
  <si>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</si>
  <si>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</si>
  <si>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</si>
  <si>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</si>
  <si>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</si>
  <si>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</si>
  <si>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</si>
  <si>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</si>
  <si>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</si>
  <si>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</si>
  <si>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</si>
  <si>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</si>
  <si>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</si>
  <si>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</si>
  <si>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</si>
  <si>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</si>
  <si>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</si>
  <si>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</si>
  <si>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</si>
  <si>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</si>
  <si>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</si>
  <si>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</si>
  <si>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</si>
  <si>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</si>
  <si>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</si>
  <si>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</si>
  <si>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</si>
  <si>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</si>
  <si>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</si>
  <si>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</si>
  <si>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</si>
  <si>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</si>
  <si>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</si>
  <si>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</si>
  <si>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</si>
  <si>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</si>
  <si>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</si>
  <si>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</si>
  <si>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</si>
  <si>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</si>
  <si>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</si>
  <si>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</si>
  <si>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</si>
  <si>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</si>
  <si>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</si>
  <si>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</si>
  <si>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</si>
  <si>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</si>
  <si>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</si>
  <si>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</si>
  <si>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</si>
  <si>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</si>
  <si>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</si>
  <si>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</si>
  <si>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</si>
  <si>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</si>
  <si>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</si>
  <si>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</si>
  <si>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</si>
  <si>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</si>
  <si>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</si>
  <si>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</si>
  <si>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</si>
  <si>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</si>
  <si>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</si>
  <si>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</si>
  <si>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</si>
  <si>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</si>
  <si>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</si>
  <si>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</si>
  <si>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</si>
  <si>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</si>
  <si>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</si>
  <si>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</si>
  <si>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</si>
  <si>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</si>
  <si>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</si>
  <si>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</si>
  <si>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</si>
  <si>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</si>
  <si>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</si>
  <si>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</si>
  <si>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</si>
  <si>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</si>
  <si>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</si>
  <si>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</si>
  <si>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</si>
  <si>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</si>
  <si>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</si>
  <si>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</si>
  <si>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</si>
  <si>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</si>
  <si>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</si>
  <si>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</si>
  <si>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</si>
  <si>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</si>
  <si>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</si>
  <si>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</si>
  <si>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</si>
  <si>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</si>
  <si>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</si>
  <si>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</si>
  <si>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</si>
  <si>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</si>
  <si>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</si>
  <si>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</si>
  <si>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</si>
  <si>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</si>
  <si>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</si>
  <si>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</si>
  <si>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</si>
  <si>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</si>
  <si>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</si>
  <si>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</si>
  <si>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</si>
  <si>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</si>
  <si>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</si>
  <si>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</si>
  <si>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</si>
  <si>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</si>
  <si>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</si>
  <si>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</si>
  <si>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</si>
  <si>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</si>
  <si>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</si>
  <si>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</si>
  <si>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</si>
  <si>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</si>
  <si>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</si>
  <si>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</si>
  <si>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</si>
  <si>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</si>
  <si>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</si>
  <si>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</si>
  <si>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</si>
  <si>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</si>
  <si>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</si>
  <si>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</si>
  <si>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</si>
  <si>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</si>
  <si>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</si>
  <si>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</si>
  <si>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</si>
  <si>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</si>
  <si>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</si>
  <si>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</si>
  <si>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</si>
  <si>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</si>
  <si>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</si>
  <si>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</si>
  <si>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</si>
  <si>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</si>
  <si>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</si>
  <si>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</si>
  <si>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</si>
  <si>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</si>
  <si>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</si>
  <si>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</si>
  <si>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</si>
  <si>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</si>
  <si>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</si>
  <si>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</si>
  <si>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</si>
  <si>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</si>
  <si>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</si>
  <si>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</si>
  <si>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</si>
  <si>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</si>
  <si>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</si>
  <si>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</si>
  <si>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</si>
  <si>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</si>
  <si>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</si>
  <si>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</si>
  <si>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</si>
  <si>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</si>
  <si>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</si>
  <si>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</si>
  <si>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</si>
  <si>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</si>
  <si>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</si>
  <si>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</si>
  <si>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</si>
  <si>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</si>
  <si>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</si>
  <si>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</si>
  <si>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</si>
  <si>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</si>
  <si>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</si>
  <si>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</si>
  <si>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</si>
  <si>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</si>
  <si>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</si>
  <si>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</si>
  <si>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</si>
  <si>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</si>
  <si>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</si>
  <si>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</si>
  <si>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</si>
  <si>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</si>
  <si>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</si>
  <si>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</si>
  <si>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</si>
  <si>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</si>
  <si>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</si>
  <si>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</si>
  <si>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</si>
  <si>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</si>
  <si>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</si>
  <si>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</si>
  <si>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</si>
  <si>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</si>
  <si>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</si>
  <si>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</si>
  <si>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</si>
  <si>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</si>
  <si>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</si>
  <si>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</si>
  <si>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</si>
  <si>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</si>
  <si>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</si>
  <si>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</si>
  <si>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</si>
  <si>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</si>
  <si>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</si>
  <si>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</si>
  <si>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</si>
  <si>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</si>
  <si>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</si>
  <si>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</si>
  <si>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</si>
  <si>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</si>
  <si>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</si>
  <si>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</si>
  <si>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</si>
  <si>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</si>
  <si>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</si>
  <si>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</si>
  <si>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</si>
  <si>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</si>
  <si>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</si>
  <si>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</si>
  <si>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</si>
  <si>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</si>
  <si>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</si>
  <si>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</si>
  <si>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</si>
  <si>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</si>
  <si>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</si>
  <si>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</si>
  <si>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</si>
  <si>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</si>
  <si>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</si>
  <si>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</si>
  <si>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</si>
  <si>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</si>
  <si>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</si>
  <si>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</si>
  <si>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</si>
  <si>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</si>
  <si>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</si>
  <si>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</si>
  <si>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</si>
  <si>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</si>
  <si>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</si>
  <si>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</si>
  <si>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</si>
  <si>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</si>
  <si>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</si>
  <si>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</si>
  <si>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</si>
  <si>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</si>
  <si>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</si>
  <si>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</si>
  <si>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</si>
  <si>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</si>
  <si>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</si>
  <si>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</si>
  <si>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</si>
  <si>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</si>
  <si>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</si>
  <si>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</si>
  <si>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</si>
  <si>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</si>
  <si>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</si>
  <si>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</si>
  <si>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</si>
  <si>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</si>
  <si>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</si>
  <si>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</si>
  <si>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</si>
  <si>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</si>
  <si>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</si>
  <si>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</si>
  <si>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</si>
  <si>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</si>
  <si>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</si>
  <si>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</si>
  <si>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</si>
  <si>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</si>
  <si>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</si>
  <si>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</si>
  <si>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</si>
  <si>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</si>
  <si>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</si>
  <si>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</si>
  <si>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</si>
  <si>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</si>
  <si>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</si>
  <si>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</si>
  <si>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</si>
  <si>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</si>
  <si>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</si>
  <si>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</si>
  <si>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</si>
  <si>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</si>
  <si>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</si>
  <si>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</si>
  <si>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</si>
  <si>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</si>
  <si>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</si>
  <si>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</si>
  <si>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</si>
  <si>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</si>
  <si>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</si>
  <si>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</si>
  <si>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</si>
  <si>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</si>
  <si>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</si>
  <si>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</si>
  <si>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</si>
  <si>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</si>
  <si>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</si>
  <si>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</si>
  <si>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</si>
  <si>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</si>
  <si>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</si>
  <si>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</si>
  <si>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</si>
  <si>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</si>
  <si>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</si>
  <si>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</si>
  <si>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</si>
  <si>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</si>
  <si>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</si>
  <si>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</si>
  <si>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</si>
  <si>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</si>
  <si>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</si>
  <si>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</si>
  <si>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</si>
  <si>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</si>
  <si>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</si>
  <si>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</si>
  <si>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</si>
  <si>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</si>
  <si>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</si>
  <si>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</si>
  <si>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</si>
  <si>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</si>
  <si>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</si>
  <si>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</si>
  <si>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</si>
  <si>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</si>
  <si>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</si>
  <si>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</si>
  <si>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</si>
  <si>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</si>
  <si>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</si>
  <si>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</si>
  <si>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</si>
  <si>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</si>
  <si>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</si>
  <si>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</si>
  <si>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</si>
  <si>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</si>
  <si>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</si>
  <si>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</si>
  <si>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</si>
  <si>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</si>
  <si>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</si>
  <si>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</si>
  <si>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</si>
  <si>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</si>
  <si>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</si>
  <si>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</si>
  <si>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</si>
  <si>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</si>
  <si>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</si>
  <si>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</si>
  <si>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</si>
  <si>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</si>
  <si>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</si>
  <si>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</si>
  <si>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</si>
  <si>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</si>
  <si>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</si>
  <si>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</si>
  <si>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</si>
  <si>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</si>
  <si>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</si>
  <si>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</si>
  <si>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</si>
  <si>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</si>
  <si>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</si>
  <si>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</si>
  <si>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</si>
  <si>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</si>
  <si>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</si>
  <si>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</si>
  <si>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</si>
  <si>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</si>
  <si>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</si>
  <si>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</si>
  <si>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</si>
  <si>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</si>
  <si>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</si>
  <si>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</si>
  <si>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</si>
  <si>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</si>
  <si>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</si>
  <si>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</si>
  <si>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</si>
  <si>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</si>
  <si>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</si>
  <si>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</si>
  <si>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</si>
  <si>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</si>
  <si>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</si>
  <si>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</si>
  <si>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</si>
  <si>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</si>
  <si>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</si>
  <si>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</si>
  <si>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</si>
  <si>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</si>
  <si>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</si>
  <si>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</si>
  <si>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</si>
  <si>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</si>
  <si>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</si>
  <si>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</si>
  <si>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</si>
  <si>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</si>
  <si>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</si>
  <si>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</si>
  <si>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</si>
  <si>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</si>
  <si>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</si>
  <si>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</si>
  <si>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</si>
  <si>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</si>
  <si>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</si>
  <si>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</si>
  <si>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</si>
  <si>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</si>
  <si>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</si>
  <si>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</si>
  <si>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</si>
  <si>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</si>
  <si>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</si>
  <si>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</si>
  <si>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</si>
  <si>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</si>
  <si>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</si>
  <si>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</si>
  <si>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</si>
  <si>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</si>
  <si>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</si>
  <si>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</si>
  <si>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</si>
  <si>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</si>
  <si>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</si>
  <si>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</si>
  <si>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</si>
  <si>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</si>
  <si>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</si>
  <si>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</si>
  <si>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</si>
  <si>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</si>
  <si>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</si>
  <si>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</si>
  <si>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</si>
  <si>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</si>
  <si>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</si>
  <si>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</si>
  <si>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</si>
  <si>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</si>
  <si>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</si>
  <si>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</si>
  <si>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</si>
  <si>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</si>
  <si>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</si>
  <si>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</si>
  <si>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</si>
  <si>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</si>
  <si>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</si>
  <si>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</si>
  <si>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</si>
  <si>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</si>
  <si>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</si>
  <si>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</si>
  <si>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</si>
  <si>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</si>
  <si>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</si>
  <si>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</si>
  <si>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</si>
  <si>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</si>
  <si>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</si>
  <si>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</si>
  <si>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</si>
  <si>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</si>
  <si>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</si>
  <si>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</si>
  <si>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</si>
  <si>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</si>
  <si>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</si>
  <si>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</si>
  <si>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</si>
  <si>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</si>
  <si>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</si>
  <si>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</si>
  <si>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</si>
  <si>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</si>
  <si>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</si>
  <si>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</si>
  <si>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</si>
  <si>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</si>
  <si>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</si>
  <si>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</si>
  <si>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</si>
  <si>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</si>
  <si>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</si>
  <si>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</si>
  <si>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</si>
  <si>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</si>
  <si>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</si>
  <si>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</si>
  <si>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</si>
  <si>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</si>
  <si>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</si>
  <si>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</si>
  <si>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</si>
  <si>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</si>
  <si>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</si>
  <si>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</si>
  <si>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</si>
  <si>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</si>
  <si>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</si>
  <si>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</si>
  <si>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</si>
  <si>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</si>
  <si>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</si>
  <si>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</si>
  <si>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</si>
  <si>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</si>
  <si>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</si>
  <si>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</si>
  <si>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</si>
  <si>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</si>
  <si>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</si>
  <si>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</si>
  <si>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</si>
  <si>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</si>
  <si>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</si>
  <si>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</si>
  <si>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</si>
  <si>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</si>
  <si>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</si>
  <si>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</si>
  <si>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</si>
  <si>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</si>
  <si>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</si>
  <si>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</si>
  <si>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</si>
  <si>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</si>
  <si>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</si>
  <si>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</si>
  <si>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</si>
  <si>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</si>
  <si>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</si>
  <si>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</si>
  <si>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</si>
  <si>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</si>
  <si>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</si>
  <si>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</si>
  <si>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</si>
  <si>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</si>
  <si>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</si>
  <si>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</si>
  <si>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</si>
  <si>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</si>
  <si>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</si>
  <si>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</si>
  <si>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</si>
  <si>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</si>
  <si>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</si>
  <si>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</si>
  <si>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</si>
  <si>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</si>
  <si>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</si>
  <si>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</si>
  <si>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</si>
  <si>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</si>
  <si>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</si>
  <si>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</si>
  <si>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</si>
  <si>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</si>
  <si>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</si>
  <si>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</si>
  <si>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</si>
  <si>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</si>
  <si>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</si>
  <si>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</si>
  <si>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</si>
  <si>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</si>
  <si>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</si>
  <si>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</si>
  <si>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</si>
  <si>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</si>
  <si>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</si>
  <si>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</si>
  <si>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</si>
  <si>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</si>
  <si>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</si>
  <si>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</si>
  <si>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</si>
  <si>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</si>
  <si>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</si>
  <si>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</si>
  <si>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</si>
  <si>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</si>
  <si>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</si>
  <si>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</si>
  <si>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</si>
  <si>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</si>
  <si>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</si>
  <si>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</si>
  <si>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</si>
  <si>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</si>
  <si>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</si>
  <si>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</si>
  <si>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</si>
  <si>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</si>
  <si>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</si>
  <si>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</si>
  <si>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</si>
  <si>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</si>
  <si>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</si>
  <si>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</si>
  <si>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</si>
  <si>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</si>
  <si>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</si>
  <si>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</si>
  <si>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</si>
  <si>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</si>
  <si>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</si>
  <si>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</si>
  <si>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</si>
  <si>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</si>
  <si>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</si>
  <si>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</si>
  <si>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</si>
  <si>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</si>
  <si>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</si>
  <si>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</si>
  <si>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</si>
  <si>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</si>
  <si>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</si>
  <si>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</si>
  <si>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</si>
  <si>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</si>
  <si>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</si>
  <si>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</si>
  <si>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</si>
  <si>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</si>
  <si>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</si>
  <si>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</si>
  <si>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</si>
  <si>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</si>
  <si>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</si>
  <si>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</si>
  <si>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</si>
  <si>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</si>
  <si>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</si>
  <si>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</si>
  <si>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</si>
  <si>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</si>
  <si>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</si>
  <si>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</si>
  <si>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</si>
  <si>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</si>
  <si>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</si>
  <si>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</si>
  <si>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</si>
  <si>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</si>
  <si>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</si>
  <si>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</si>
  <si>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</si>
  <si>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</si>
  <si>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</si>
  <si>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</si>
  <si>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</si>
  <si>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</si>
  <si>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</si>
  <si>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</si>
  <si>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</si>
  <si>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</si>
  <si>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</si>
  <si>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</si>
  <si>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</si>
  <si>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</si>
  <si>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</si>
  <si>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</si>
  <si>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</si>
  <si>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</si>
  <si>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</si>
  <si>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</si>
  <si>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</si>
  <si>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</si>
  <si>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</si>
  <si>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</si>
  <si>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</si>
  <si>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</si>
  <si>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</si>
  <si>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</si>
  <si>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</si>
  <si>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</si>
  <si>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</si>
  <si>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</si>
  <si>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</si>
  <si>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</si>
  <si>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</si>
  <si>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</si>
  <si>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</si>
  <si>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</si>
  <si>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</si>
  <si>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</si>
  <si>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</si>
  <si>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</si>
  <si>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</si>
  <si>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</si>
  <si>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</si>
  <si>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</si>
  <si>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</si>
  <si>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</si>
  <si>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</si>
  <si>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</si>
  <si>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</si>
  <si>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</si>
  <si>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</si>
  <si>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</si>
  <si>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</si>
  <si>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</si>
  <si>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</si>
  <si>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</si>
  <si>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</si>
  <si>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</si>
  <si>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</si>
  <si>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</si>
  <si>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</si>
  <si>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</si>
  <si>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</si>
  <si>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</si>
  <si>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</si>
  <si>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</si>
  <si>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</si>
  <si>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</si>
  <si>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</si>
  <si>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</si>
  <si>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</si>
  <si>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</si>
  <si>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</si>
  <si>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</si>
  <si>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</si>
  <si>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</si>
  <si>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</si>
  <si>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</si>
  <si>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</si>
  <si>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</si>
  <si>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</si>
  <si>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</si>
  <si>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</si>
  <si>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</si>
  <si>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</si>
  <si>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</si>
  <si>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</si>
  <si>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</si>
  <si>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</si>
  <si>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</si>
  <si>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</si>
  <si>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</si>
  <si>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</si>
  <si>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</si>
  <si>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</si>
  <si>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</si>
  <si>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</si>
  <si>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</si>
  <si>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</si>
  <si>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</si>
  <si>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</si>
  <si>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</si>
  <si>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</si>
  <si>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</si>
  <si>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</si>
  <si>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</si>
  <si>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</si>
  <si>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</si>
  <si>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</si>
  <si>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</si>
  <si>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</si>
  <si>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</si>
  <si>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</si>
  <si>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</si>
  <si>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</si>
  <si>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</si>
  <si>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</si>
  <si>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</si>
  <si>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</si>
  <si>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</si>
  <si>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</si>
  <si>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</si>
  <si>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</si>
  <si>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</si>
  <si>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</si>
  <si>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</si>
  <si>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</si>
  <si>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</si>
  <si>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</si>
  <si>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</si>
  <si>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</si>
  <si>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</si>
  <si>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</si>
  <si>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</si>
  <si>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</si>
  <si>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</si>
  <si>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</si>
  <si>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</si>
  <si>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</si>
  <si>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</si>
  <si>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</si>
  <si>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</si>
  <si>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</si>
  <si>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</si>
  <si>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</si>
  <si>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</si>
  <si>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</si>
  <si>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</si>
  <si>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</si>
  <si>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</si>
  <si>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</si>
  <si>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</si>
  <si>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</si>
  <si>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</si>
  <si>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</si>
  <si>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</si>
  <si>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</si>
  <si>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</si>
  <si>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</si>
  <si>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</si>
  <si>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</si>
  <si>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</si>
  <si>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</si>
  <si>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</si>
  <si>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</si>
  <si>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</si>
  <si>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</si>
  <si>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</si>
  <si>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</si>
  <si>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</si>
  <si>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</si>
  <si>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</si>
  <si>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</si>
  <si>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</si>
  <si>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</si>
  <si>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</si>
  <si>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</si>
  <si>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</si>
  <si>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</si>
  <si>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</si>
  <si>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</si>
  <si>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</si>
  <si>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</si>
  <si>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</si>
  <si>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</si>
  <si>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</si>
  <si>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</si>
  <si>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</si>
  <si>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</si>
  <si>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</si>
  <si>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</si>
  <si>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</si>
  <si>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</si>
  <si>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</si>
  <si>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</si>
  <si>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</si>
  <si>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</si>
  <si>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</si>
  <si>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</si>
  <si>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</si>
  <si>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</si>
  <si>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</si>
  <si>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</si>
  <si>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</si>
  <si>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</si>
  <si>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</si>
  <si>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</si>
  <si>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</si>
  <si>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</si>
  <si>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</si>
  <si>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</si>
  <si>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</si>
  <si>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</si>
  <si>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</si>
  <si>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</si>
  <si>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</si>
  <si>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</si>
  <si>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</si>
  <si>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</si>
  <si>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</si>
  <si>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</si>
  <si>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</si>
  <si>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</si>
  <si>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</si>
  <si>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</si>
  <si>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</si>
  <si>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</si>
  <si>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</si>
  <si>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</si>
  <si>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</si>
  <si>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</si>
  <si>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</si>
  <si>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</si>
  <si>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</si>
  <si>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</si>
  <si>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</si>
  <si>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</si>
  <si>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</si>
  <si>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</si>
  <si>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</si>
  <si>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</si>
  <si>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</si>
  <si>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</si>
  <si>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</si>
  <si>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</si>
  <si>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</si>
  <si>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</si>
  <si>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</si>
  <si>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</si>
  <si>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</si>
  <si>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</si>
  <si>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</si>
  <si>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</si>
  <si>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</si>
  <si>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</si>
  <si>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</si>
  <si>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</si>
  <si>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</si>
  <si>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</si>
  <si>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</si>
  <si>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</si>
  <si>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</si>
  <si>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</si>
  <si>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</si>
  <si>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</si>
  <si>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</si>
  <si>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</si>
  <si>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</si>
  <si>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</si>
  <si>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</si>
  <si>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</si>
  <si>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</si>
  <si>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</si>
  <si>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</si>
  <si>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</si>
  <si>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</si>
  <si>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</si>
  <si>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</si>
  <si>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</si>
  <si>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</si>
  <si>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</si>
  <si>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</si>
  <si>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</si>
  <si>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</si>
  <si>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</si>
  <si>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</si>
  <si>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</si>
  <si>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</si>
  <si>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</si>
  <si>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</si>
  <si>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</si>
  <si>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</si>
  <si>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</si>
  <si>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</si>
  <si>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</si>
  <si>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</si>
  <si>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</si>
  <si>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</si>
  <si>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</si>
  <si>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</si>
  <si>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</si>
  <si>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</si>
  <si>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</si>
  <si>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</si>
  <si>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</si>
  <si>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</si>
  <si>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</si>
  <si>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</si>
  <si>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</si>
  <si>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</si>
  <si>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</si>
  <si>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</si>
  <si>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</si>
  <si>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</si>
  <si>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</si>
  <si>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</si>
  <si>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</si>
  <si>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</si>
  <si>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</si>
  <si>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</si>
  <si>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</si>
  <si>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</si>
  <si>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</si>
  <si>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</si>
  <si>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</si>
  <si>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</si>
  <si>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</si>
  <si>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</si>
  <si>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</si>
  <si>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</si>
  <si>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</si>
  <si>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</si>
  <si>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</si>
  <si>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</si>
  <si>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</si>
  <si>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</si>
  <si>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</si>
  <si>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</si>
  <si>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</si>
  <si>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</si>
  <si>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</si>
  <si>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</si>
  <si>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</si>
  <si>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</si>
  <si>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</si>
  <si>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</si>
  <si>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</si>
  <si>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</si>
  <si>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</si>
  <si>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</si>
  <si>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</si>
  <si>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</si>
  <si>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</si>
  <si>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</si>
  <si>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</si>
  <si>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</si>
  <si>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</si>
  <si>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</si>
  <si>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</si>
  <si>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</si>
  <si>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</si>
  <si>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</si>
  <si>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</si>
  <si>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</si>
  <si>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</si>
  <si>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</si>
  <si>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</si>
  <si>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</si>
  <si>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</si>
  <si>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</si>
  <si>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</si>
  <si>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</si>
  <si>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</si>
  <si>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</si>
  <si>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</si>
  <si>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</si>
  <si>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</si>
  <si>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</si>
  <si>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</si>
  <si>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</si>
  <si>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</si>
  <si>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</si>
  <si>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</si>
  <si>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</si>
  <si>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</si>
  <si>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</si>
  <si>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</si>
  <si>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</si>
  <si>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</si>
  <si>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</si>
  <si>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</si>
  <si>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</si>
  <si>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</si>
  <si>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</si>
  <si>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</si>
  <si>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</si>
  <si>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</si>
  <si>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</si>
  <si>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</si>
  <si>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</si>
  <si>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</si>
  <si>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</si>
  <si>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</si>
  <si>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</si>
  <si>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</si>
  <si>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</si>
  <si>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</si>
  <si>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</si>
  <si>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</si>
  <si>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</si>
  <si>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</si>
  <si>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</si>
  <si>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</si>
  <si>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</si>
  <si>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</si>
  <si>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</si>
  <si>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</si>
  <si>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</si>
  <si>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</si>
  <si>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</si>
  <si>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</si>
  <si>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</si>
  <si>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</si>
  <si>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</si>
  <si>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</si>
  <si>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</si>
  <si>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</si>
  <si>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</si>
  <si>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</si>
  <si>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</si>
  <si>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</si>
  <si>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</si>
  <si>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</si>
  <si>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</si>
  <si>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</si>
  <si>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</si>
  <si>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</si>
  <si>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</si>
  <si>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</si>
  <si>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</si>
  <si>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</si>
  <si>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</si>
  <si>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</si>
  <si>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</si>
  <si>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</si>
  <si>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</si>
  <si>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</si>
  <si>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</si>
  <si>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</si>
  <si>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</si>
  <si>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</si>
  <si>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</si>
  <si>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</si>
  <si>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</si>
  <si>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</si>
  <si>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</si>
  <si>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</si>
  <si>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</si>
  <si>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</si>
  <si>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</si>
  <si>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</si>
  <si>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</si>
  <si>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</si>
  <si>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</si>
  <si>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</si>
  <si>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</si>
  <si>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</si>
  <si>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</si>
  <si>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</si>
  <si>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</si>
  <si>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</si>
  <si>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</si>
  <si>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</si>
  <si>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</si>
  <si>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</si>
  <si>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</si>
  <si>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</si>
  <si>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</si>
  <si>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</si>
  <si>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</si>
  <si>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</si>
  <si>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</si>
  <si>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</si>
  <si>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</si>
  <si>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</si>
  <si>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</si>
  <si>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</si>
  <si>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</si>
  <si>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</si>
  <si>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</si>
  <si>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</si>
  <si>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</si>
  <si>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</si>
  <si>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</si>
  <si>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</si>
  <si>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</si>
  <si>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</si>
  <si>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</si>
  <si>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</si>
  <si>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</si>
  <si>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</si>
  <si>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</si>
  <si>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</si>
  <si>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</si>
  <si>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</si>
  <si>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</si>
  <si>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</si>
  <si>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</si>
  <si>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</si>
  <si>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</si>
  <si>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</si>
  <si>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</si>
  <si>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</si>
  <si>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</si>
  <si>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</si>
  <si>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</si>
  <si>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</si>
  <si>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</si>
  <si>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</si>
  <si>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</si>
  <si>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</si>
  <si>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</si>
  <si>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</si>
  <si>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</si>
  <si>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</si>
  <si>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</si>
  <si>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</si>
  <si>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</si>
  <si>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</si>
  <si>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</si>
  <si>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</si>
  <si>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</si>
  <si>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</si>
  <si>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</si>
  <si>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</si>
  <si>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</si>
  <si>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</si>
  <si>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</si>
  <si>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</si>
  <si>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</si>
  <si>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</si>
  <si>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</si>
  <si>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</si>
  <si>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</si>
  <si>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</si>
  <si>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</si>
  <si>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</si>
  <si>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</si>
  <si>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</si>
  <si>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</si>
  <si>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</si>
  <si>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</si>
  <si>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</si>
  <si>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</si>
  <si>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</si>
  <si>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</si>
  <si>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</si>
  <si>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</si>
  <si>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</si>
  <si>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</si>
  <si>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</si>
  <si>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</si>
  <si>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</si>
  <si>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</si>
  <si>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</si>
  <si>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</si>
  <si>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</si>
  <si>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</si>
  <si>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</si>
  <si>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</si>
  <si>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</si>
  <si>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</si>
  <si>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</si>
  <si>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</si>
  <si>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</si>
  <si>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</si>
  <si>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</si>
  <si>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</si>
  <si>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</si>
  <si>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</si>
  <si>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</si>
  <si>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</si>
  <si>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</si>
  <si>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</si>
  <si>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</si>
  <si>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</si>
  <si>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</si>
  <si>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</si>
  <si>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</si>
  <si>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</si>
  <si>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</si>
  <si>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</si>
  <si>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</si>
  <si>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</si>
  <si>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</si>
  <si>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</si>
  <si>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</si>
  <si>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</si>
  <si>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</si>
  <si>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</si>
  <si>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</si>
  <si>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</si>
  <si>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</si>
  <si>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</si>
  <si>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</si>
  <si>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</si>
  <si>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</si>
  <si>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</si>
  <si>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</si>
  <si>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</si>
  <si>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</si>
  <si>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</si>
  <si>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</si>
  <si>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</si>
  <si>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</si>
  <si>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</si>
  <si>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</si>
  <si>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</si>
  <si>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</si>
  <si>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</si>
  <si>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</si>
  <si>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</si>
  <si>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</si>
  <si>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</si>
  <si>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</si>
  <si>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</si>
  <si>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</si>
  <si>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</si>
  <si>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</si>
  <si>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</si>
  <si>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</si>
  <si>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</si>
  <si>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</si>
  <si>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</si>
  <si>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</si>
  <si>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</si>
  <si>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</si>
  <si>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</si>
  <si>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</si>
  <si>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</si>
  <si>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</si>
  <si>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</si>
  <si>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</si>
  <si>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</si>
  <si>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</si>
  <si>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</si>
  <si>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</si>
  <si>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</si>
  <si>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</si>
  <si>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</si>
  <si>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</si>
  <si>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</si>
  <si>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</si>
  <si>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</si>
  <si>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</si>
  <si>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</si>
  <si>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</si>
  <si>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</si>
  <si>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</si>
  <si>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</si>
  <si>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</si>
  <si>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</si>
  <si>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</si>
  <si>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</si>
  <si>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</si>
  <si>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</si>
  <si>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</si>
  <si>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</si>
  <si>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</si>
  <si>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</si>
  <si>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</si>
  <si>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</si>
  <si>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</si>
  <si>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</si>
  <si>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</si>
  <si>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</si>
  <si>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</si>
  <si>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</si>
  <si>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</si>
  <si>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</si>
  <si>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</si>
  <si>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</si>
  <si>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</si>
  <si>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</si>
  <si>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</si>
  <si>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</si>
  <si>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</si>
  <si>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</si>
  <si>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</si>
  <si>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</si>
  <si>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</si>
  <si>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</si>
  <si>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</si>
  <si>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</si>
  <si>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</si>
  <si>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</si>
  <si>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</si>
  <si>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</si>
  <si>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</si>
  <si>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</si>
  <si>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</si>
  <si>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</si>
  <si>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</si>
  <si>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</si>
  <si>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</si>
  <si>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</si>
  <si>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</si>
  <si>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</si>
  <si>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</si>
  <si>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</si>
  <si>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</si>
  <si>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</si>
  <si>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</si>
  <si>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</si>
  <si>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</si>
  <si>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</si>
  <si>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</si>
  <si>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</si>
  <si>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</si>
  <si>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</si>
  <si>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</si>
  <si>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</si>
  <si>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</si>
  <si>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</si>
  <si>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</si>
  <si>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</si>
  <si>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</si>
  <si>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</si>
  <si>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</si>
  <si>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</si>
  <si>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</si>
  <si>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</si>
  <si>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</si>
  <si>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</si>
  <si>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</si>
  <si>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</si>
  <si>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</si>
  <si>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</si>
  <si>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</si>
  <si>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</si>
  <si>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</si>
  <si>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</si>
  <si>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</si>
  <si>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</si>
  <si>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</si>
  <si>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</si>
  <si>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</si>
  <si>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</si>
  <si>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</si>
  <si>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</si>
  <si>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</si>
  <si>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</si>
  <si>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</si>
  <si>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</si>
  <si>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</si>
  <si>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</si>
  <si>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</si>
  <si>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</si>
  <si>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</si>
  <si>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</si>
  <si>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</si>
  <si>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</si>
  <si>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</si>
  <si>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</si>
  <si>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</si>
  <si>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</si>
  <si>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</si>
  <si>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</si>
  <si>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</si>
  <si>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</si>
  <si>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</si>
  <si>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</si>
  <si>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</si>
  <si>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</si>
  <si>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</si>
  <si>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</si>
  <si>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</si>
  <si>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</si>
  <si>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</si>
  <si>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</si>
  <si>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</si>
  <si>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</si>
  <si>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</si>
  <si>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</si>
  <si>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</si>
  <si>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</si>
  <si>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</si>
  <si>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</si>
  <si>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</si>
  <si>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</si>
  <si>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</si>
  <si>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</si>
  <si>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</si>
  <si>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</si>
  <si>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</si>
  <si>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</si>
  <si>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</si>
  <si>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</si>
  <si>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</si>
  <si>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</si>
  <si>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</si>
  <si>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</si>
  <si>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</si>
  <si>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</si>
  <si>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</si>
  <si>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</si>
  <si>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</si>
  <si>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</si>
  <si>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</si>
  <si>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</si>
  <si>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</si>
  <si>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</si>
  <si>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</si>
  <si>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</si>
  <si>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</si>
  <si>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</si>
  <si>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</si>
  <si>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</si>
  <si>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</si>
  <si>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</si>
  <si>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</si>
  <si>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</si>
  <si>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</si>
  <si>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</si>
  <si>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</si>
  <si>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</si>
  <si>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</si>
  <si>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</si>
  <si>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</si>
  <si>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</si>
  <si>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</si>
  <si>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</si>
  <si>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</si>
  <si>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</si>
  <si>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</si>
  <si>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</si>
  <si>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</si>
  <si>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</si>
  <si>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</si>
  <si>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</si>
  <si>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</si>
  <si>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</si>
  <si>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</si>
  <si>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</si>
  <si>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</si>
  <si>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</si>
  <si>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</si>
  <si>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</si>
  <si>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</si>
  <si>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</si>
  <si>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</si>
  <si>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</si>
  <si>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</si>
  <si>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</si>
  <si>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</si>
  <si>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</si>
  <si>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</si>
  <si>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</si>
  <si>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</si>
  <si>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</si>
  <si>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</si>
  <si>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</si>
  <si>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</si>
  <si>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</si>
  <si>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</si>
  <si>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</si>
  <si>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</si>
  <si>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</si>
  <si>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</si>
  <si>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</si>
  <si>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</si>
  <si>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</si>
  <si>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</si>
  <si>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</si>
  <si>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</si>
  <si>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</si>
  <si>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</si>
  <si>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</si>
  <si>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</si>
  <si>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</si>
  <si>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</si>
  <si>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</si>
  <si>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</si>
  <si>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</si>
  <si>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</si>
  <si>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</si>
  <si>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</si>
  <si>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</si>
  <si>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</si>
  <si>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</si>
  <si>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</si>
  <si>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</si>
  <si>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</si>
  <si>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</si>
  <si>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</si>
  <si>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</si>
  <si>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</si>
  <si>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</si>
  <si>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</si>
  <si>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</si>
  <si>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</si>
  <si>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</si>
  <si>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</si>
  <si>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</si>
  <si>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</si>
  <si>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</si>
  <si>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</si>
  <si>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</si>
  <si>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</si>
  <si>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</si>
  <si>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</si>
  <si>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</si>
  <si>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</si>
  <si>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</si>
  <si>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</si>
  <si>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</si>
  <si>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</si>
  <si>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</si>
  <si>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</si>
  <si>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</si>
  <si>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</si>
  <si>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</si>
  <si>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</si>
  <si>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</si>
  <si>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</si>
  <si>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</si>
  <si>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</si>
  <si>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</si>
  <si>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</si>
  <si>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</si>
  <si>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</si>
  <si>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</si>
  <si>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</si>
  <si>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</si>
  <si>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</si>
  <si>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</si>
  <si>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</si>
  <si>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</si>
  <si>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</si>
  <si>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</si>
  <si>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</si>
  <si>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</si>
  <si>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</si>
  <si>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</si>
  <si>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</si>
  <si>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</si>
  <si>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</si>
  <si>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</si>
  <si>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</si>
  <si>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</si>
  <si>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</si>
  <si>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</si>
  <si>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</si>
  <si>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</si>
  <si>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</si>
  <si>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</si>
  <si>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</si>
  <si>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</si>
  <si>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</si>
  <si>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</si>
  <si>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</si>
  <si>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</si>
  <si>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</si>
  <si>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</si>
  <si>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</si>
  <si>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</si>
  <si>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</si>
  <si>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</si>
  <si>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</si>
  <si>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</si>
  <si>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</si>
  <si>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</si>
  <si>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</si>
  <si>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</si>
  <si>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</si>
  <si>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</si>
  <si>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</si>
  <si>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</si>
  <si>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</si>
  <si>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</si>
  <si>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</si>
  <si>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</si>
  <si>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</si>
  <si>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</si>
  <si>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</si>
  <si>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</si>
  <si>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</si>
  <si>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</si>
  <si>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</si>
  <si>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</si>
  <si>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</si>
  <si>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</si>
  <si>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</si>
  <si>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</si>
  <si>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</si>
  <si>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</si>
  <si>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</si>
  <si>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</si>
  <si>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</si>
  <si>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</si>
  <si>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</si>
  <si>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</si>
  <si>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</si>
  <si>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</si>
  <si>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</si>
  <si>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</si>
  <si>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</si>
  <si>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</si>
  <si>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</si>
  <si>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</si>
  <si>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</si>
  <si>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</si>
  <si>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</si>
  <si>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</si>
  <si>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</si>
  <si>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</si>
  <si>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</si>
  <si>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</si>
  <si>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</si>
  <si>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</si>
  <si>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</si>
  <si>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</si>
  <si>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</si>
  <si>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</si>
  <si>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</si>
  <si>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</si>
  <si>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</si>
  <si>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</si>
  <si>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</si>
  <si>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</si>
  <si>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</si>
  <si>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</si>
  <si>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</si>
  <si>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</si>
  <si>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</si>
  <si>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</si>
  <si>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</si>
  <si>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</si>
  <si>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</si>
  <si>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</si>
  <si>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</si>
  <si>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</si>
  <si>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</si>
  <si>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</si>
  <si>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</si>
  <si>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</si>
  <si>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</si>
  <si>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</si>
  <si>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</si>
  <si>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</si>
  <si>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</si>
  <si>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</si>
  <si>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</si>
  <si>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</si>
  <si>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</si>
  <si>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</si>
  <si>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</si>
  <si>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</si>
  <si>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</si>
  <si>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</si>
  <si>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</si>
  <si>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</si>
  <si>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</si>
  <si>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</si>
  <si>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</si>
  <si>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</si>
  <si>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</si>
  <si>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</si>
  <si>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</si>
  <si>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</si>
  <si>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</si>
  <si>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</si>
  <si>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</si>
  <si>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</si>
  <si>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</si>
  <si>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</si>
  <si>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</si>
  <si>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</si>
  <si>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</si>
  <si>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</si>
  <si>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</si>
  <si>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</si>
  <si>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</si>
  <si>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</si>
  <si>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</si>
  <si>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</si>
  <si>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</si>
  <si>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</si>
  <si>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</si>
  <si>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</si>
  <si>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</si>
  <si>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</si>
  <si>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</si>
  <si>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</si>
  <si>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</si>
  <si>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</si>
  <si>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</si>
  <si>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</si>
  <si>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</si>
  <si>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</si>
  <si>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</si>
  <si>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</si>
  <si>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</si>
  <si>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</si>
  <si>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</si>
  <si>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</si>
  <si>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</si>
  <si>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</si>
  <si>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</si>
  <si>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</si>
  <si>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</si>
  <si>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</si>
  <si>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</si>
  <si>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</si>
  <si>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</si>
  <si>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</si>
  <si>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</si>
  <si>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</si>
  <si>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</si>
  <si>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</si>
  <si>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</si>
  <si>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</si>
  <si>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</si>
  <si>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</si>
  <si>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</si>
  <si>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</si>
  <si>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</si>
  <si>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</si>
  <si>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</si>
  <si>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</si>
  <si>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</si>
  <si>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</si>
  <si>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</si>
  <si>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</si>
  <si>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</si>
  <si>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</si>
  <si>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</si>
  <si>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</si>
  <si>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</si>
  <si>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</si>
  <si>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</si>
  <si>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</si>
  <si>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</si>
  <si>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</si>
  <si>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</si>
  <si>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</si>
  <si>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</si>
  <si>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</si>
  <si>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</si>
  <si>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</si>
  <si>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</si>
  <si>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</si>
  <si>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</si>
  <si>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</si>
  <si>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</si>
  <si>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</si>
  <si>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</si>
  <si>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</si>
  <si>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</si>
  <si>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</si>
  <si>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</si>
  <si>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</si>
  <si>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</si>
  <si>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</si>
  <si>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</si>
  <si>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</si>
  <si>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</si>
  <si>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</si>
  <si>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</si>
  <si>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</si>
  <si>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</si>
  <si>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</si>
  <si>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</si>
  <si>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</si>
  <si>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</si>
  <si>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</si>
  <si>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</si>
  <si>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</si>
  <si>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</si>
  <si>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</si>
  <si>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</si>
  <si>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</si>
  <si>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</si>
  <si>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</si>
  <si>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</si>
  <si>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</si>
  <si>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</si>
  <si>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</si>
  <si>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</si>
  <si>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</si>
  <si>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</si>
  <si>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</si>
  <si>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</si>
  <si>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</si>
  <si>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</si>
  <si>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</si>
  <si>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</si>
  <si>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</si>
  <si>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</si>
  <si>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</si>
  <si>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</si>
  <si>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</si>
  <si>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</si>
  <si>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</si>
  <si>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</si>
  <si>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</si>
  <si>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</si>
  <si>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</si>
  <si>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</si>
  <si>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</si>
  <si>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</si>
  <si>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</si>
  <si>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</si>
  <si>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</si>
  <si>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</si>
  <si>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</si>
  <si>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</si>
  <si>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</si>
  <si>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</si>
  <si>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</si>
  <si>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</si>
  <si>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</si>
  <si>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</si>
  <si>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</si>
  <si>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</si>
  <si>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</si>
  <si>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</si>
  <si>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</si>
  <si>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</si>
  <si>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</si>
  <si>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</si>
  <si>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</si>
  <si>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</si>
  <si>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</si>
  <si>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</si>
  <si>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</si>
  <si>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</si>
  <si>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</si>
  <si>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</si>
  <si>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</si>
  <si>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</si>
  <si>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</si>
  <si>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</si>
  <si>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</si>
  <si>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</si>
  <si>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</si>
  <si>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</si>
  <si>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</si>
  <si>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</si>
  <si>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</si>
  <si>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</si>
  <si>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</si>
  <si>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</si>
  <si>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</si>
  <si>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</si>
  <si>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</si>
  <si>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</si>
  <si>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</si>
  <si>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</si>
  <si>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</si>
  <si>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</si>
  <si>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</si>
  <si>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</si>
  <si>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</si>
  <si>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</si>
  <si>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</si>
  <si>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</si>
  <si>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</si>
  <si>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</si>
  <si>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</si>
  <si>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</si>
  <si>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</si>
  <si>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</si>
  <si>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</si>
  <si>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</si>
  <si>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</si>
  <si>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</si>
  <si>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</si>
  <si>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</si>
  <si>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</si>
  <si>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</si>
  <si>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</si>
  <si>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</si>
  <si>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</si>
  <si>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</si>
  <si>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</si>
  <si>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</si>
  <si>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</si>
  <si>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</si>
  <si>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</si>
  <si>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</si>
  <si>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</si>
  <si>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</si>
  <si>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</si>
  <si>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</si>
  <si>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</si>
  <si>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</si>
  <si>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</si>
  <si>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</si>
  <si>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</si>
  <si>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</si>
  <si>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</si>
  <si>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</si>
  <si>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</si>
  <si>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</si>
  <si>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</si>
  <si>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</si>
  <si>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</si>
  <si>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</si>
  <si>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</si>
  <si>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</si>
  <si>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</si>
  <si>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</si>
  <si>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</si>
  <si>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</si>
  <si>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</si>
  <si>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</si>
  <si>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</si>
  <si>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</si>
  <si>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</si>
  <si>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</si>
  <si>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</si>
  <si>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</si>
  <si>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</si>
  <si>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</si>
  <si>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</si>
  <si>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</si>
  <si>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</si>
  <si>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</si>
  <si>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</si>
  <si>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</si>
  <si>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</si>
  <si>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</si>
  <si>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</si>
  <si>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</si>
  <si>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</si>
  <si>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</si>
  <si>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</si>
  <si>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</si>
  <si>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</si>
  <si>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</si>
  <si>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</si>
  <si>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</si>
  <si>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</si>
  <si>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</si>
  <si>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</si>
  <si>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</si>
  <si>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</si>
  <si>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</si>
  <si>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</si>
  <si>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</si>
  <si>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</si>
  <si>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</si>
  <si>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</si>
  <si>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</si>
  <si>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</si>
  <si>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</si>
  <si>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</si>
  <si>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</si>
  <si>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</si>
  <si>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</si>
  <si>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</si>
  <si>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</si>
  <si>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</si>
  <si>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</si>
  <si>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</si>
  <si>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</si>
  <si>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</si>
  <si>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</si>
  <si>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</si>
  <si>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</si>
  <si>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</si>
  <si>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</si>
  <si>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</si>
  <si>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</si>
  <si>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</si>
  <si>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</si>
  <si>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</si>
  <si>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</si>
  <si>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</si>
  <si>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</si>
  <si>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</si>
  <si>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</si>
  <si>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</si>
  <si>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</si>
  <si>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</si>
  <si>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</si>
  <si>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</si>
  <si>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</si>
  <si>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</si>
  <si>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</si>
  <si>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</si>
  <si>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</si>
  <si>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</si>
  <si>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</si>
  <si>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</si>
  <si>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</si>
  <si>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</si>
  <si>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</si>
  <si>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</si>
  <si>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</si>
  <si>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</si>
  <si>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</si>
  <si>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</si>
  <si>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</si>
  <si>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</si>
  <si>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</si>
  <si>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</si>
  <si>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</si>
  <si>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</si>
  <si>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</si>
  <si>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</si>
  <si>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</si>
  <si>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</si>
  <si>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</si>
  <si>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</si>
  <si>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</si>
  <si>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</si>
  <si>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</si>
  <si>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</si>
  <si>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</si>
  <si>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</si>
  <si>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</si>
  <si>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</si>
  <si>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</si>
  <si>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</si>
  <si>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</si>
  <si>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</si>
  <si>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</si>
  <si>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</si>
  <si>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</si>
  <si>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</si>
  <si>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</si>
  <si>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</si>
  <si>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</si>
  <si>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</si>
  <si>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</si>
  <si>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</si>
  <si>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</si>
  <si>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</si>
  <si>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</si>
  <si>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</si>
  <si>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</si>
  <si>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</si>
  <si>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</si>
  <si>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</si>
  <si>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</si>
  <si>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</si>
  <si>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</si>
  <si>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</si>
  <si>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</si>
  <si>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</si>
  <si>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</si>
  <si>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</si>
  <si>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</si>
  <si>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</si>
  <si>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</si>
  <si>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</si>
  <si>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</si>
  <si>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</si>
  <si>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</si>
  <si>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</si>
  <si>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</si>
  <si>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</si>
  <si>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</si>
  <si>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</si>
  <si>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</si>
  <si>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</si>
  <si>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</si>
  <si>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</si>
  <si>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</si>
  <si>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</si>
  <si>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</si>
  <si>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</si>
  <si>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</si>
  <si>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</si>
  <si>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</si>
  <si>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</si>
  <si>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</si>
  <si>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</si>
  <si>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</si>
  <si>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</si>
  <si>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</si>
  <si>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</si>
  <si>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</si>
  <si>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</si>
  <si>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</si>
  <si>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</si>
  <si>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</si>
  <si>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</si>
  <si>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</si>
  <si>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</si>
  <si>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</si>
  <si>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</si>
  <si>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</si>
  <si>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</si>
  <si>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</si>
  <si>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</si>
  <si>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</si>
  <si>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</si>
  <si>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</si>
  <si>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</si>
  <si>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</si>
  <si>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</si>
  <si>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</si>
  <si>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</si>
  <si>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</si>
  <si>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</si>
  <si>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</si>
  <si>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</si>
  <si>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</si>
  <si>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</si>
  <si>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</si>
  <si>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</si>
  <si>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</si>
  <si>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</si>
  <si>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</si>
  <si>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</si>
  <si>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</si>
  <si>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</si>
  <si>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</si>
  <si>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</si>
  <si>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</si>
  <si>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</si>
  <si>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</si>
  <si>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</si>
  <si>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</si>
  <si>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</si>
  <si>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</si>
  <si>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</si>
  <si>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</si>
  <si>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</si>
  <si>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</si>
  <si>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</si>
  <si>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</si>
  <si>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</si>
  <si>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</si>
  <si>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</si>
  <si>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</si>
  <si>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</si>
  <si>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</si>
  <si>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</si>
  <si>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</si>
  <si>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</si>
  <si>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</si>
  <si>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</si>
  <si>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</si>
  <si>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</si>
  <si>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</si>
  <si>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</si>
  <si>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</si>
  <si>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</si>
  <si>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</si>
  <si>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</si>
  <si>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</si>
  <si>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</si>
  <si>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</si>
  <si>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</si>
  <si>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</si>
  <si>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</si>
  <si>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</si>
  <si>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</si>
  <si>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</si>
  <si>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</si>
  <si>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</si>
  <si>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</si>
  <si>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</si>
  <si>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</si>
  <si>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</si>
  <si>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</si>
  <si>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</si>
  <si>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</si>
  <si>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</si>
  <si>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</si>
  <si>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</si>
  <si>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</si>
  <si>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</si>
  <si>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</si>
  <si>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</si>
  <si>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</si>
  <si>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</si>
  <si>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</si>
  <si>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</si>
  <si>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</si>
  <si>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</si>
  <si>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</si>
  <si>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</si>
  <si>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</si>
  <si>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</si>
  <si>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</si>
  <si>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</si>
  <si>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</si>
  <si>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</si>
  <si>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</si>
  <si>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</si>
  <si>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</si>
  <si>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</si>
  <si>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</si>
  <si>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</si>
  <si>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</si>
  <si>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</si>
  <si>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</si>
  <si>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</si>
  <si>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</si>
  <si>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</si>
  <si>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</si>
  <si>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</si>
  <si>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</si>
  <si>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</si>
  <si>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</si>
  <si>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</si>
  <si>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</si>
  <si>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</si>
  <si>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</si>
  <si>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</si>
  <si>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</si>
  <si>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</si>
  <si>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</si>
  <si>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</si>
  <si>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</si>
  <si>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</si>
  <si>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</si>
  <si>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</si>
  <si>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</si>
  <si>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</si>
  <si>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</si>
  <si>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</si>
  <si>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</si>
  <si>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</si>
  <si>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</si>
  <si>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</si>
  <si>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</si>
  <si>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</si>
  <si>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</si>
  <si>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</si>
  <si>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</si>
  <si>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</si>
  <si>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</si>
  <si>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</si>
  <si>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</si>
  <si>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</si>
  <si>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</si>
  <si>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</si>
  <si>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</si>
  <si>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</si>
  <si>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</si>
  <si>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</si>
  <si>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</si>
  <si>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</si>
  <si>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</si>
  <si>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</si>
  <si>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</si>
  <si>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</si>
  <si>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</si>
  <si>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</si>
  <si>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</si>
  <si>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</si>
  <si>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</si>
  <si>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</si>
  <si>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</si>
  <si>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</si>
  <si>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</si>
  <si>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</si>
  <si>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</si>
  <si>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</si>
  <si>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</si>
  <si>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</si>
  <si>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</si>
  <si>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</si>
  <si>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</si>
  <si>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</si>
  <si>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</si>
  <si>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</si>
  <si>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</si>
  <si>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</si>
  <si>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</si>
  <si>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</si>
  <si>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</si>
  <si>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</si>
  <si>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</si>
  <si>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</si>
  <si>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</si>
  <si>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</si>
  <si>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</si>
  <si>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</si>
  <si>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</si>
  <si>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</si>
  <si>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</si>
  <si>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</si>
  <si>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</si>
  <si>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</si>
  <si>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</si>
  <si>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</si>
  <si>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</si>
  <si>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</si>
  <si>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</si>
  <si>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</si>
  <si>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</si>
  <si>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</si>
  <si>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</si>
  <si>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</si>
  <si>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</si>
  <si>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</si>
  <si>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</si>
  <si>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</si>
  <si>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</si>
  <si>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</si>
  <si>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</si>
  <si>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</si>
  <si>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</si>
  <si>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</si>
  <si>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</si>
  <si>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</si>
  <si>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</si>
  <si>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</si>
  <si>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</si>
  <si>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</si>
  <si>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</si>
  <si>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</si>
  <si>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</si>
  <si>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</si>
  <si>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</si>
  <si>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</si>
  <si>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</si>
  <si>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</si>
  <si>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</si>
  <si>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</si>
  <si>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</si>
  <si>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</si>
  <si>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</si>
  <si>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</si>
  <si>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</si>
  <si>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</si>
  <si>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</si>
  <si>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</si>
  <si>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</si>
  <si>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</si>
  <si>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</si>
  <si>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</si>
  <si>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</si>
  <si>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</si>
  <si>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</si>
  <si>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</si>
  <si>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</si>
  <si>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</si>
  <si>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</si>
  <si>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</si>
  <si>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</si>
  <si>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</si>
  <si>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</si>
  <si>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</si>
  <si>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</si>
  <si>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</si>
  <si>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</si>
  <si>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</si>
  <si>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</si>
  <si>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</si>
  <si>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</si>
  <si>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</si>
  <si>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</si>
  <si>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</si>
  <si>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</si>
  <si>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</si>
  <si>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</si>
  <si>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</si>
  <si>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</si>
  <si>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</si>
  <si>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</si>
  <si>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</si>
  <si>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</si>
  <si>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</si>
  <si>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</si>
  <si>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</si>
  <si>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</si>
  <si>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</si>
  <si>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</si>
  <si>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</si>
  <si>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</si>
  <si>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</si>
  <si>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</si>
  <si>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</si>
  <si>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</si>
  <si>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</si>
  <si>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</si>
  <si>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</si>
  <si>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</si>
  <si>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</si>
  <si>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</si>
  <si>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</si>
  <si>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</si>
  <si>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</si>
  <si>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</si>
  <si>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</si>
  <si>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</si>
  <si>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</si>
  <si>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</si>
  <si>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</si>
  <si>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</si>
  <si>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</si>
  <si>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</si>
  <si>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</si>
  <si>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</si>
  <si>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</si>
  <si>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</si>
  <si>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</si>
  <si>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</si>
  <si>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</si>
  <si>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</si>
  <si>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</si>
  <si>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</si>
  <si>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</si>
  <si>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</si>
  <si>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</si>
  <si>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</si>
  <si>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</si>
  <si>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</si>
  <si>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</si>
  <si>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</si>
  <si>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</si>
  <si>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</si>
  <si>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</si>
  <si>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</si>
  <si>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</si>
  <si>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</si>
  <si>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</si>
  <si>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</si>
  <si>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</si>
  <si>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</si>
  <si>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</si>
  <si>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</si>
  <si>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</si>
  <si>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</si>
  <si>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</si>
  <si>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</si>
  <si>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</si>
  <si>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</si>
  <si>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</si>
  <si>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</si>
  <si>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</si>
  <si>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</si>
  <si>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</si>
  <si>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</si>
  <si>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</si>
  <si>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</si>
  <si>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</si>
  <si>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</si>
  <si>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</si>
  <si>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</si>
  <si>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</si>
  <si>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</si>
  <si>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</si>
  <si>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</si>
  <si>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</si>
  <si>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</si>
  <si>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</si>
  <si>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</si>
  <si>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</si>
  <si>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</si>
  <si>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</si>
  <si>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</si>
  <si>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</si>
  <si>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</si>
  <si>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</si>
  <si>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</si>
  <si>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</si>
  <si>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</si>
  <si>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</si>
  <si>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</si>
  <si>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</si>
  <si>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</si>
  <si>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</si>
  <si>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</si>
  <si>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</si>
  <si>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</si>
  <si>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</si>
  <si>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</si>
  <si>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</si>
  <si>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</si>
  <si>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</si>
  <si>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</si>
  <si>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</si>
  <si>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</si>
  <si>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</si>
  <si>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</si>
  <si>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</si>
  <si>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</si>
  <si>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</si>
  <si>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</si>
  <si>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</si>
  <si>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</si>
  <si>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</si>
  <si>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</si>
  <si>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</si>
  <si>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</si>
  <si>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</si>
  <si>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</si>
  <si>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</si>
  <si>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</si>
  <si>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</si>
  <si>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</si>
  <si>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</si>
  <si>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</si>
  <si>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</si>
  <si>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</si>
  <si>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</si>
  <si>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</si>
  <si>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</si>
  <si>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</si>
  <si>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</si>
  <si>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</si>
  <si>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</si>
  <si>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</si>
  <si>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</si>
  <si>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</si>
  <si>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</si>
  <si>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</si>
  <si>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</si>
  <si>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</si>
  <si>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</si>
  <si>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</si>
  <si>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</si>
  <si>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</si>
  <si>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</si>
  <si>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</si>
  <si>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</si>
  <si>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</si>
  <si>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</si>
  <si>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</si>
  <si>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</si>
  <si>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</si>
  <si>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</si>
  <si>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</si>
  <si>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</si>
  <si>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</si>
  <si>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</si>
  <si>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</si>
  <si>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</si>
  <si>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</si>
  <si>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</si>
  <si>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</si>
  <si>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</si>
  <si>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</si>
  <si>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</si>
  <si>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</si>
  <si>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</si>
  <si>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</si>
  <si>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</si>
  <si>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</si>
  <si>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</si>
  <si>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</si>
  <si>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</si>
  <si>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</si>
  <si>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</si>
  <si>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</si>
  <si>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</si>
  <si>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</si>
  <si>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</si>
  <si>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</si>
  <si>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</si>
  <si>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</si>
  <si>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</si>
  <si>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</si>
  <si>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</si>
  <si>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</si>
  <si>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</si>
  <si>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</si>
  <si>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</si>
  <si>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</si>
  <si>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</si>
  <si>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</si>
  <si>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</si>
  <si>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</si>
  <si>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</si>
  <si>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</si>
  <si>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</si>
  <si>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</si>
  <si>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</si>
  <si>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</si>
  <si>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</si>
  <si>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</si>
  <si>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</si>
  <si>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</si>
  <si>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</si>
  <si>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</si>
  <si>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</si>
  <si>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</si>
  <si>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</si>
  <si>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</si>
  <si>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</si>
  <si>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</si>
  <si>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</si>
  <si>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</si>
  <si>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</si>
  <si>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</si>
  <si>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</si>
  <si>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</si>
  <si>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</si>
  <si>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</si>
  <si>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</si>
  <si>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</si>
  <si>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</si>
  <si>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</si>
  <si>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</si>
  <si>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</si>
  <si>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</si>
  <si>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</si>
  <si>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</si>
  <si>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</si>
  <si>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</si>
  <si>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</si>
  <si>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</si>
  <si>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</si>
  <si>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</si>
  <si>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</si>
  <si>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</si>
  <si>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</si>
  <si>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</si>
  <si>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</si>
  <si>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</si>
  <si>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</si>
  <si>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</si>
  <si>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</si>
  <si>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</si>
  <si>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</si>
  <si>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</si>
  <si>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</si>
  <si>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</si>
  <si>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</si>
  <si>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</si>
  <si>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</si>
  <si>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</si>
  <si>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</si>
  <si>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</si>
  <si>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</si>
  <si>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</si>
  <si>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</si>
  <si>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</si>
  <si>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</si>
  <si>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</si>
  <si>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</si>
  <si>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</si>
  <si>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</si>
  <si>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</si>
  <si>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</si>
  <si>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</si>
  <si>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</si>
  <si>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</si>
  <si>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</si>
  <si>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</si>
  <si>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</si>
  <si>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</si>
  <si>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</si>
  <si>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</si>
  <si>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</si>
  <si>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</si>
  <si>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</si>
  <si>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</si>
  <si>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</si>
  <si>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</si>
  <si>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</si>
  <si>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</si>
  <si>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</si>
  <si>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</si>
  <si>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</si>
  <si>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</si>
  <si>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</si>
  <si>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</si>
  <si>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</si>
  <si>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</si>
  <si>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</si>
  <si>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</si>
  <si>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</si>
  <si>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</si>
  <si>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</si>
  <si>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</si>
  <si>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</si>
  <si>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</si>
  <si>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</si>
  <si>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</si>
  <si>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</si>
  <si>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</si>
  <si>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</si>
  <si>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</si>
  <si>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</si>
  <si>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</si>
  <si>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</si>
  <si>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</si>
  <si>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</si>
  <si>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</si>
  <si>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</si>
  <si>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</si>
  <si>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</si>
  <si>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</si>
  <si>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</si>
  <si>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</si>
  <si>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</si>
  <si>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</si>
  <si>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</si>
  <si>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</si>
  <si>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</si>
  <si>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</si>
  <si>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</si>
  <si>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</si>
  <si>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</si>
  <si>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</si>
  <si>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</si>
  <si>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</si>
  <si>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</si>
  <si>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</si>
  <si>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</si>
  <si>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</si>
  <si>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</si>
  <si>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</si>
  <si>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</si>
  <si>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</si>
  <si>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</si>
  <si>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</si>
  <si>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</si>
  <si>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</si>
  <si>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</si>
  <si>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</si>
  <si>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</si>
  <si>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</si>
  <si>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</si>
  <si>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</si>
  <si>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</si>
  <si>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</si>
  <si>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</si>
  <si>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</si>
  <si>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</si>
  <si>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</si>
  <si>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</si>
  <si>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</si>
  <si>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</si>
  <si>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</si>
  <si>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</si>
  <si>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</si>
  <si>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</si>
  <si>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</si>
  <si>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</si>
  <si>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</si>
  <si>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</si>
  <si>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</si>
  <si>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</si>
  <si>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</si>
  <si>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</si>
  <si>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</si>
  <si>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</si>
  <si>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</si>
  <si>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</si>
  <si>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</si>
  <si>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</si>
  <si>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</si>
  <si>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</si>
  <si>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</si>
  <si>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</si>
  <si>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</si>
  <si>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</si>
  <si>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</si>
  <si>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</si>
  <si>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</si>
  <si>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</si>
  <si>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</si>
  <si>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</si>
  <si>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</si>
  <si>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</si>
  <si>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</si>
  <si>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</si>
  <si>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</si>
  <si>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</si>
  <si>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</si>
  <si>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</si>
  <si>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</si>
  <si>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</si>
  <si>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</si>
  <si>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</si>
  <si>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</si>
  <si>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</si>
  <si>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</si>
  <si>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</si>
  <si>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</si>
  <si>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</si>
  <si>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</si>
  <si>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</si>
  <si>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</si>
  <si>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</si>
  <si>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</si>
  <si>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</si>
  <si>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</si>
  <si>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</si>
  <si>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</si>
  <si>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</si>
  <si>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</si>
  <si>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</si>
  <si>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</si>
  <si>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</si>
  <si>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</si>
  <si>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</si>
  <si>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</si>
  <si>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</si>
  <si>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</si>
  <si>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</si>
  <si>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</si>
  <si>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</si>
  <si>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</si>
  <si>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</si>
  <si>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</si>
  <si>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</si>
  <si>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</si>
  <si>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</si>
  <si>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</si>
  <si>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</si>
  <si>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</si>
  <si>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</si>
  <si>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</si>
  <si>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</si>
  <si>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</si>
  <si>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</si>
  <si>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</si>
  <si>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</si>
  <si>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</si>
  <si>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</si>
  <si>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</si>
  <si>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</si>
  <si>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</si>
  <si>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</si>
  <si>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</si>
  <si>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</si>
  <si>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</si>
  <si>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</si>
  <si>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</si>
  <si>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</si>
  <si>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</si>
  <si>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</si>
  <si>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</si>
  <si>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</si>
  <si>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</si>
  <si>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</si>
  <si>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</si>
  <si>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</si>
  <si>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</si>
  <si>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</si>
  <si>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</si>
  <si>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</si>
  <si>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</si>
  <si>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</si>
  <si>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</si>
  <si>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</si>
  <si>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</si>
  <si>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</si>
  <si>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</si>
  <si>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</si>
  <si>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</si>
  <si>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</si>
  <si>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</si>
  <si>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</si>
  <si>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</si>
  <si>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</si>
  <si>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</si>
  <si>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</si>
  <si>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</si>
  <si>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</si>
  <si>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</si>
  <si>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</si>
  <si>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</si>
  <si>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</si>
  <si>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</si>
  <si>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</si>
  <si>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</si>
  <si>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</si>
  <si>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</si>
  <si>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</si>
  <si>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</si>
  <si>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</si>
  <si>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</si>
  <si>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</si>
  <si>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</si>
  <si>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</si>
  <si>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</si>
  <si>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</si>
  <si>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</si>
  <si>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</si>
  <si>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</si>
  <si>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</si>
  <si>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</si>
  <si>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</si>
  <si>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</si>
  <si>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</si>
  <si>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</si>
  <si>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</si>
  <si>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</si>
  <si>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</si>
  <si>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</si>
  <si>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</si>
  <si>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</si>
  <si>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</si>
  <si>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</si>
  <si>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</si>
  <si>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</si>
  <si>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</si>
  <si>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</si>
  <si>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</si>
  <si>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</si>
  <si>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</si>
  <si>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</si>
  <si>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</si>
  <si>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</si>
  <si>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</si>
  <si>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</si>
  <si>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</si>
  <si>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</si>
  <si>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</si>
  <si>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</si>
  <si>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</si>
  <si>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</si>
  <si>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</si>
  <si>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</si>
  <si>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</si>
  <si>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</si>
  <si>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</si>
  <si>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</si>
  <si>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</si>
  <si>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</si>
  <si>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</si>
  <si>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</si>
  <si>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</si>
  <si>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</si>
  <si>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</si>
  <si>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</si>
  <si>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</si>
  <si>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</si>
  <si>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</si>
  <si>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</si>
  <si>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</si>
  <si>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</si>
  <si>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</si>
  <si>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</si>
  <si>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</si>
  <si>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</si>
  <si>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</si>
  <si>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</si>
  <si>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</si>
  <si>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</si>
  <si>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</si>
  <si>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</si>
  <si>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</si>
  <si>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</si>
  <si>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</si>
  <si>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</si>
  <si>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</si>
  <si>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</si>
  <si>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</si>
  <si>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</si>
  <si>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</si>
  <si>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</si>
  <si>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</si>
  <si>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</si>
  <si>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</si>
  <si>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</si>
  <si>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</si>
  <si>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</si>
  <si>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</si>
  <si>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</si>
  <si>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</si>
  <si>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</si>
  <si>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</si>
  <si>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</si>
  <si>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</si>
  <si>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</si>
  <si>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</si>
  <si>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</si>
  <si>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</si>
  <si>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</si>
  <si>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</si>
  <si>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</si>
  <si>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</si>
  <si>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</si>
  <si>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</si>
  <si>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</si>
  <si>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</si>
  <si>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</si>
  <si>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</si>
  <si>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</si>
  <si>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</si>
  <si>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</si>
  <si>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</si>
  <si>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</si>
  <si>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</si>
  <si>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</si>
  <si>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</si>
  <si>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</si>
  <si>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</si>
  <si>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</si>
  <si>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</si>
  <si>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</si>
  <si>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</si>
  <si>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</si>
  <si>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</si>
  <si>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</si>
  <si>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</si>
  <si>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</si>
  <si>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</si>
  <si>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</si>
  <si>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</si>
  <si>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</si>
  <si>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</si>
  <si>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</si>
  <si>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</si>
  <si>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</si>
  <si>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</si>
  <si>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</si>
  <si>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</si>
  <si>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</si>
  <si>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</si>
  <si>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</si>
  <si>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</si>
  <si>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</si>
  <si>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</si>
  <si>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</si>
  <si>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</si>
  <si>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</si>
  <si>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</si>
  <si>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</si>
  <si>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</si>
  <si>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</si>
  <si>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</si>
  <si>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</si>
  <si>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</si>
  <si>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</si>
  <si>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</si>
  <si>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</si>
  <si>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</si>
  <si>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</si>
  <si>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</si>
  <si>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</si>
  <si>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</si>
  <si>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</si>
  <si>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</si>
  <si>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</si>
  <si>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</si>
  <si>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</si>
  <si>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</si>
  <si>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</si>
  <si>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</si>
  <si>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</si>
  <si>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</si>
  <si>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</si>
  <si>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</si>
  <si>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</si>
  <si>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</si>
  <si>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</si>
  <si>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</si>
  <si>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</si>
  <si>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</si>
  <si>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</si>
  <si>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</si>
  <si>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</si>
  <si>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</si>
  <si>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</si>
  <si>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</si>
  <si>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</si>
  <si>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</si>
  <si>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</si>
  <si>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</si>
  <si>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</si>
  <si>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</si>
  <si>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</si>
  <si>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</si>
  <si>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</si>
  <si>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</si>
  <si>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</si>
  <si>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</si>
  <si>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</si>
  <si>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</si>
  <si>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</si>
  <si>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</si>
  <si>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</si>
  <si>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</si>
  <si>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</si>
  <si>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</si>
  <si>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</si>
  <si>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</si>
  <si>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</si>
  <si>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</si>
  <si>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</si>
  <si>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</si>
  <si>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</si>
  <si>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</si>
  <si>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</si>
  <si>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</si>
  <si>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</si>
  <si>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</si>
  <si>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</si>
  <si>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</si>
  <si>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</si>
  <si>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</si>
  <si>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</si>
  <si>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</si>
  <si>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</si>
  <si>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</si>
  <si>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</si>
  <si>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</si>
  <si>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</si>
  <si>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</si>
  <si>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</si>
  <si>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</si>
  <si>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</si>
  <si>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</si>
  <si>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</si>
  <si>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</si>
  <si>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</si>
  <si>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</si>
  <si>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</si>
  <si>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</si>
  <si>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</si>
  <si>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</si>
  <si>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</si>
  <si>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</si>
  <si>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</si>
  <si>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</si>
  <si>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</si>
  <si>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</si>
  <si>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</si>
  <si>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</si>
  <si>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</si>
  <si>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</si>
  <si>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</si>
  <si>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</si>
  <si>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</si>
  <si>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</si>
  <si>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</si>
  <si>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</si>
  <si>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</si>
  <si>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</si>
  <si>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</si>
  <si>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</si>
  <si>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</si>
  <si>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</si>
  <si>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</si>
  <si>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</si>
  <si>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</si>
  <si>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</si>
  <si>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</si>
  <si>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</si>
  <si>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</si>
  <si>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</si>
  <si>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</si>
  <si>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</si>
  <si>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</si>
  <si>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</si>
  <si>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</si>
  <si>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</si>
  <si>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</si>
  <si>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</si>
  <si>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</si>
  <si>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</si>
  <si>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</si>
  <si>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</si>
  <si>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</si>
  <si>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</si>
  <si>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</si>
  <si>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</si>
  <si>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</si>
  <si>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</si>
  <si>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</si>
  <si>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</si>
  <si>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</si>
  <si>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</si>
  <si>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</si>
  <si>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</si>
  <si>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</si>
  <si>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</si>
  <si>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</si>
  <si>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</si>
  <si>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</si>
  <si>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</si>
  <si>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</si>
  <si>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</si>
  <si>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</si>
  <si>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</si>
  <si>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</si>
  <si>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</si>
  <si>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</si>
  <si>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</si>
  <si>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</si>
  <si>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</si>
  <si>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</si>
  <si>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</si>
  <si>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</si>
  <si>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</si>
  <si>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</si>
  <si>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</si>
  <si>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</si>
  <si>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</si>
  <si>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</si>
  <si>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</si>
  <si>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</si>
  <si>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</si>
  <si>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</si>
  <si>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</si>
  <si>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</si>
  <si>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</si>
  <si>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</si>
  <si>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</si>
  <si>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</si>
  <si>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</si>
  <si>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</si>
  <si>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</si>
  <si>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</si>
  <si>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</si>
  <si>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</si>
  <si>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</si>
  <si>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</si>
  <si>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</si>
  <si>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</si>
  <si>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</si>
  <si>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</si>
  <si>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</si>
  <si>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</si>
  <si>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</si>
  <si>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</si>
  <si>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</si>
  <si>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</si>
  <si>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</si>
  <si>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</si>
  <si>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</si>
  <si>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</si>
  <si>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</si>
  <si>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</si>
  <si>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</si>
  <si>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</si>
  <si>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</si>
  <si>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</si>
  <si>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</si>
  <si>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</si>
  <si>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</si>
  <si>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</si>
  <si>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</si>
  <si>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</si>
  <si>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</si>
  <si>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</si>
  <si>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</si>
  <si>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</si>
  <si>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</si>
  <si>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</si>
  <si>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</si>
  <si>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</si>
  <si>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</si>
  <si>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</si>
  <si>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</si>
  <si>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</si>
  <si>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</si>
  <si>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</si>
  <si>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</si>
  <si>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</si>
  <si>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</si>
  <si>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</si>
  <si>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</si>
  <si>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</si>
  <si>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</si>
  <si>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</si>
  <si>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</si>
  <si>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</si>
  <si>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</si>
  <si>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</si>
  <si>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</si>
  <si>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</si>
  <si>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</si>
  <si>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</si>
  <si>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</si>
  <si>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</si>
  <si>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</si>
  <si>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</si>
  <si>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</si>
  <si>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</si>
  <si>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</si>
  <si>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</si>
  <si>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</si>
  <si>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</si>
  <si>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</si>
  <si>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</si>
  <si>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</si>
  <si>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</si>
  <si>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</si>
  <si>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</si>
  <si>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</si>
  <si>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</si>
  <si>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</si>
  <si>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</si>
  <si>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</si>
  <si>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</si>
  <si>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</si>
  <si>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</si>
  <si>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</si>
  <si>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</si>
  <si>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</si>
  <si>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</si>
  <si>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</si>
  <si>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</si>
  <si>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</si>
  <si>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</si>
  <si>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</si>
  <si>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</si>
  <si>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</si>
  <si>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</si>
  <si>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</si>
  <si>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</si>
  <si>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</si>
  <si>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</si>
  <si>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</si>
  <si>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</si>
  <si>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</si>
  <si>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</si>
  <si>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</si>
  <si>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</si>
  <si>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</si>
  <si>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</si>
  <si>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</si>
  <si>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</si>
  <si>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</si>
  <si>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</si>
  <si>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</si>
  <si>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</si>
  <si>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</si>
  <si>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</si>
  <si>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</si>
  <si>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</si>
  <si>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</si>
  <si>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</si>
  <si>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</si>
  <si>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</si>
  <si>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</si>
  <si>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</si>
  <si>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</si>
  <si>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</si>
  <si>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</si>
  <si>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</si>
  <si>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</si>
  <si>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</si>
  <si>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</si>
  <si>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</si>
  <si>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</si>
  <si>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</si>
  <si>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</si>
  <si>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</si>
  <si>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</si>
  <si>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</si>
  <si>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</si>
  <si>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</si>
  <si>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</si>
  <si>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</si>
  <si>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</si>
  <si>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</si>
  <si>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</si>
  <si>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</si>
  <si>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</si>
  <si>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</si>
  <si>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</si>
  <si>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</si>
  <si>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</si>
  <si>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</si>
  <si>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</si>
  <si>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</si>
  <si>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</si>
  <si>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</si>
  <si>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</si>
  <si>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</si>
  <si>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</si>
  <si>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</si>
  <si>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</si>
  <si>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</si>
  <si>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</si>
  <si>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</si>
  <si>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</si>
  <si>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</si>
  <si>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</si>
  <si>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</si>
  <si>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</si>
  <si>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</si>
  <si>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</si>
  <si>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</si>
  <si>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</si>
  <si>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</si>
  <si>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</si>
  <si>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</si>
  <si>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</si>
  <si>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</si>
  <si>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</si>
  <si>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</si>
  <si>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</si>
  <si>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</si>
  <si>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</si>
  <si>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</si>
  <si>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</si>
  <si>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</si>
  <si>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</si>
  <si>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</si>
  <si>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</si>
  <si>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</si>
  <si>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</si>
  <si>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</si>
  <si>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</si>
  <si>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</si>
  <si>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</si>
  <si>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</si>
  <si>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</si>
  <si>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</si>
  <si>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</si>
  <si>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</si>
  <si>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</si>
  <si>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</si>
  <si>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</si>
  <si>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</si>
  <si>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</si>
  <si>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</si>
  <si>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</si>
  <si>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</si>
  <si>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</si>
  <si>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</si>
  <si>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</si>
  <si>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</si>
  <si>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</si>
  <si>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</si>
  <si>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</si>
  <si>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</si>
  <si>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</si>
  <si>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</si>
  <si>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</si>
  <si>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</si>
  <si>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</si>
  <si>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</si>
  <si>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</si>
  <si>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</si>
  <si>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</si>
  <si>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</si>
  <si>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</si>
  <si>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</si>
  <si>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</si>
  <si>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</si>
  <si>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</si>
  <si>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</si>
  <si>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</si>
  <si>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</si>
  <si>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</si>
  <si>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</si>
  <si>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</si>
  <si>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</si>
  <si>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</si>
  <si>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</si>
  <si>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</si>
  <si>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</si>
  <si>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</si>
  <si>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</si>
  <si>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</si>
  <si>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</si>
  <si>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</si>
  <si>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</si>
  <si>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</si>
  <si>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</si>
  <si>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</si>
  <si>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</si>
  <si>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</si>
  <si>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</si>
  <si>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</si>
  <si>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</si>
  <si>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</si>
  <si>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</si>
  <si>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</si>
  <si>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</si>
  <si>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</si>
  <si>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</si>
  <si>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</si>
  <si>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</si>
  <si>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</si>
  <si>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</si>
  <si>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</si>
  <si>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</si>
  <si>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</si>
  <si>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</si>
  <si>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</si>
  <si>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</si>
  <si>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</si>
  <si>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</si>
  <si>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</si>
  <si>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</si>
  <si>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</si>
  <si>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</si>
  <si>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</si>
  <si>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</si>
  <si>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</si>
  <si>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</si>
  <si>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</si>
  <si>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</si>
  <si>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</si>
  <si>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</si>
  <si>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</si>
  <si>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</si>
  <si>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</si>
  <si>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</si>
  <si>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</si>
  <si>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</si>
  <si>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</si>
  <si>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</si>
  <si>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</si>
  <si>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</si>
  <si>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</si>
  <si>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</si>
  <si>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</si>
  <si>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</si>
  <si>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</si>
  <si>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</si>
  <si>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</si>
  <si>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</si>
  <si>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</si>
  <si>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</si>
  <si>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</si>
  <si>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</si>
  <si>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</si>
  <si>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</si>
  <si>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</si>
  <si>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</si>
  <si>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</si>
  <si>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</si>
  <si>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</si>
  <si>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</si>
  <si>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</si>
  <si>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</si>
  <si>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</si>
  <si>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</si>
  <si>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</si>
  <si>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</si>
  <si>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</si>
  <si>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</si>
  <si>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</si>
  <si>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</si>
  <si>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</si>
  <si>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</si>
  <si>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</si>
  <si>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</si>
  <si>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</si>
  <si>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</si>
  <si>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</si>
  <si>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</si>
  <si>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</si>
  <si>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</si>
  <si>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</si>
  <si>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</si>
  <si>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</si>
  <si>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</si>
  <si>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</si>
  <si>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</si>
  <si>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</si>
  <si>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</si>
  <si>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</si>
  <si>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</si>
  <si>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</si>
  <si>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</si>
  <si>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</si>
  <si>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</si>
  <si>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</si>
  <si>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</si>
  <si>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</si>
  <si>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</si>
  <si>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</si>
  <si>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</si>
  <si>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</si>
  <si>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</si>
  <si>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</si>
  <si>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</si>
  <si>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</si>
  <si>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</si>
  <si>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</si>
  <si>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</si>
  <si>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</si>
  <si>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</si>
  <si>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</si>
  <si>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</si>
  <si>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</si>
  <si>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</si>
  <si>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</si>
  <si>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</si>
  <si>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</si>
  <si>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</si>
  <si>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</si>
  <si>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</si>
  <si>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</si>
  <si>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</si>
  <si>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</si>
  <si>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</si>
  <si>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</si>
  <si>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</si>
  <si>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</si>
  <si>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</si>
  <si>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</si>
  <si>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</si>
  <si>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</si>
  <si>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</si>
  <si>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</si>
  <si>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</si>
  <si>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</si>
  <si>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</si>
  <si>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</si>
  <si>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</si>
  <si>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</si>
  <si>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</si>
  <si>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</si>
  <si>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</si>
  <si>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</si>
  <si>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</si>
  <si>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</si>
  <si>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</si>
  <si>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</si>
  <si>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</si>
  <si>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</si>
  <si>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</si>
  <si>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</si>
  <si>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</si>
  <si>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</si>
  <si>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</si>
  <si>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</si>
  <si>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</si>
  <si>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</si>
  <si>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</si>
  <si>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</si>
  <si>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</si>
  <si>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</si>
  <si>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</si>
  <si>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</si>
  <si>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</si>
  <si>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</si>
  <si>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</si>
  <si>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</si>
  <si>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</si>
  <si>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</si>
  <si>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</si>
  <si>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</si>
  <si>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</si>
  <si>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</si>
  <si>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</si>
  <si>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</si>
  <si>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</si>
  <si>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</si>
  <si>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</si>
  <si>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</si>
  <si>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</si>
  <si>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</si>
  <si>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</si>
  <si>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</si>
  <si>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</si>
  <si>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</si>
  <si>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</si>
  <si>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</si>
  <si>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</si>
  <si>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</si>
  <si>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</si>
  <si>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</si>
  <si>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</si>
  <si>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</si>
  <si>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</si>
  <si>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</si>
  <si>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</si>
  <si>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</si>
  <si>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</si>
  <si>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</si>
  <si>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</si>
  <si>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</si>
  <si>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</si>
  <si>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</si>
  <si>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</si>
  <si>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</si>
  <si>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</si>
  <si>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</si>
  <si>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</si>
  <si>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</si>
  <si>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</si>
  <si>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</si>
  <si>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</si>
  <si>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</si>
  <si>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</si>
  <si>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</si>
  <si>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</si>
  <si>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</si>
  <si>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</si>
  <si>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</si>
  <si>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</si>
  <si>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</si>
  <si>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</si>
  <si>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</si>
  <si>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</si>
  <si>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</si>
  <si>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</si>
  <si>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</si>
  <si>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</si>
  <si>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</si>
  <si>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</si>
  <si>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</si>
  <si>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</si>
  <si>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</si>
  <si>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</si>
  <si>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</si>
  <si>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</si>
  <si>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</si>
  <si>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</si>
  <si>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</si>
  <si>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</si>
  <si>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</si>
  <si>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</si>
  <si>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</si>
  <si>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</si>
  <si>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</si>
  <si>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</si>
  <si>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</si>
  <si>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</si>
  <si>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</si>
  <si>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</si>
  <si>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</si>
  <si>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</si>
  <si>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</si>
  <si>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</si>
  <si>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</si>
  <si>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</si>
  <si>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</si>
  <si>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</si>
  <si>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</si>
  <si>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</si>
  <si>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</si>
  <si>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</si>
  <si>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</si>
  <si>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</si>
  <si>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</si>
  <si>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</si>
  <si>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</si>
  <si>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</si>
  <si>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</si>
  <si>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</si>
  <si>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</si>
  <si>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</si>
  <si>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</si>
  <si>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</si>
  <si>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</si>
  <si>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</si>
  <si>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</si>
  <si>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</si>
  <si>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</si>
  <si>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</si>
  <si>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</si>
  <si>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</si>
  <si>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</si>
  <si>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</si>
  <si>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</si>
  <si>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</si>
  <si>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</si>
  <si>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</si>
  <si>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</si>
  <si>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</si>
  <si>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</si>
  <si>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</si>
  <si>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</si>
  <si>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</si>
  <si>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</si>
  <si>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</si>
  <si>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</si>
  <si>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</si>
  <si>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</si>
  <si>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</si>
  <si>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</si>
  <si>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</si>
  <si>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</si>
  <si>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</si>
  <si>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</si>
  <si>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</si>
  <si>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</si>
  <si>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</si>
  <si>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</si>
  <si>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</si>
  <si>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</si>
  <si>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</si>
  <si>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</si>
  <si>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</si>
  <si>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</si>
  <si>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</si>
  <si>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</si>
  <si>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</si>
  <si>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</si>
  <si>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</si>
  <si>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</si>
  <si>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</si>
  <si>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</si>
  <si>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</si>
  <si>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</si>
  <si>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</si>
  <si>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</si>
  <si>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</si>
  <si>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</si>
  <si>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</si>
  <si>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</si>
  <si>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</si>
  <si>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</si>
  <si>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</si>
  <si>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</si>
  <si>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</si>
  <si>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</si>
  <si>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</si>
  <si>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</si>
  <si>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</si>
  <si>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</si>
  <si>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</si>
  <si>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</si>
  <si>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</si>
  <si>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</si>
  <si>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</si>
  <si>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</si>
  <si>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</si>
  <si>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</si>
  <si>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</si>
  <si>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</si>
  <si>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</si>
  <si>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</si>
  <si>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</si>
  <si>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</si>
  <si>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</si>
  <si>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</si>
  <si>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</si>
  <si>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</si>
  <si>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</si>
  <si>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</si>
  <si>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</si>
  <si>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</si>
  <si>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</si>
  <si>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</si>
  <si>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</si>
  <si>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</si>
  <si>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</si>
  <si>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</si>
  <si>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</si>
  <si>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</si>
  <si>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</si>
  <si>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</si>
  <si>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</si>
  <si>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</si>
  <si>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</si>
  <si>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</si>
  <si>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</si>
  <si>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</si>
  <si>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</si>
  <si>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</si>
  <si>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</si>
  <si>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</si>
  <si>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</si>
  <si>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</si>
  <si>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</si>
  <si>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</si>
  <si>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</si>
  <si>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</si>
  <si>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</si>
  <si>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</si>
  <si>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</si>
  <si>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</si>
  <si>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</si>
  <si>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</si>
  <si>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</si>
  <si>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</si>
  <si>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</si>
  <si>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</si>
  <si>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</si>
  <si>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</si>
  <si>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</si>
  <si>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</si>
  <si>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</si>
  <si>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</si>
  <si>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</si>
  <si>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</si>
  <si>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</si>
  <si>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</si>
  <si>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</si>
  <si>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</si>
  <si>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</si>
  <si>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</si>
  <si>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</si>
  <si>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</si>
  <si>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</si>
  <si>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</si>
  <si>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</si>
  <si>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</si>
  <si>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</si>
  <si>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</si>
  <si>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</si>
  <si>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</si>
  <si>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</si>
  <si>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</si>
  <si>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</si>
  <si>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</si>
  <si>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</si>
  <si>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</si>
  <si>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</si>
  <si>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</si>
  <si>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</si>
  <si>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</si>
  <si>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</si>
  <si>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</si>
  <si>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</si>
  <si>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</si>
  <si>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</si>
  <si>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</si>
  <si>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</si>
  <si>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</si>
  <si>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</si>
  <si>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</si>
  <si>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</si>
  <si>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</si>
  <si>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</si>
  <si>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</si>
  <si>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</si>
  <si>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</si>
  <si>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</si>
  <si>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</si>
  <si>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</si>
  <si>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</si>
  <si>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</si>
  <si>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</si>
  <si>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</si>
  <si>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</si>
  <si>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</si>
  <si>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</si>
  <si>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</si>
  <si>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</si>
  <si>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</si>
  <si>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</si>
  <si>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</si>
  <si>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</si>
  <si>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</si>
  <si>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</si>
  <si>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</si>
  <si>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</si>
  <si>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</si>
  <si>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</si>
  <si>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</si>
  <si>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</si>
  <si>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</si>
  <si>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</si>
  <si>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</si>
  <si>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</si>
  <si>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</si>
  <si>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</si>
  <si>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</si>
  <si>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</si>
  <si>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</si>
  <si>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</si>
  <si>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</si>
  <si>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</si>
  <si>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</si>
  <si>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</si>
  <si>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</si>
  <si>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</si>
  <si>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</si>
  <si>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</si>
  <si>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</si>
  <si>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</si>
  <si>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</si>
  <si>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</si>
  <si>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</si>
  <si>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</si>
  <si>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</si>
  <si>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</si>
  <si>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</si>
  <si>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</si>
  <si>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</si>
  <si>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</si>
  <si>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</si>
  <si>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</si>
  <si>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</si>
  <si>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</si>
  <si>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</si>
  <si>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</si>
  <si>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</si>
  <si>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</si>
  <si>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</si>
  <si>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</si>
  <si>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</si>
  <si>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</si>
  <si>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</si>
  <si>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</si>
  <si>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</si>
  <si>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</si>
  <si>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</si>
  <si>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</si>
  <si>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</si>
  <si>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</si>
  <si>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</si>
  <si>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</si>
  <si>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</si>
  <si>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</si>
  <si>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</si>
  <si>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</si>
  <si>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</si>
  <si>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</si>
  <si>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</si>
  <si>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</si>
  <si>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</si>
  <si>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</si>
  <si>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</si>
  <si>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</si>
  <si>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</si>
  <si>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</si>
  <si>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</si>
  <si>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</si>
  <si>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</si>
  <si>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</si>
  <si>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</si>
  <si>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</si>
  <si>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</si>
  <si>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</si>
  <si>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</si>
  <si>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</si>
  <si>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</si>
  <si>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</si>
  <si>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</si>
  <si>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</si>
  <si>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</si>
  <si>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</si>
  <si>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</si>
  <si>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</si>
  <si>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</si>
  <si>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</si>
  <si>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</si>
  <si>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</si>
  <si>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</si>
  <si>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</si>
  <si>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</si>
  <si>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</si>
  <si>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</si>
  <si>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</si>
  <si>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</si>
  <si>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</si>
  <si>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</si>
  <si>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</si>
  <si>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</si>
  <si>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</si>
  <si>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</si>
  <si>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</si>
  <si>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</si>
  <si>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</si>
  <si>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</si>
  <si>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</si>
  <si>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</si>
  <si>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</si>
  <si>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</si>
  <si>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</si>
  <si>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</si>
  <si>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</si>
  <si>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</si>
  <si>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</si>
  <si>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</si>
  <si>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</si>
  <si>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</si>
  <si>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</si>
  <si>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</si>
  <si>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</si>
  <si>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</si>
  <si>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</si>
  <si>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</si>
  <si>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</si>
  <si>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</si>
  <si>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</si>
  <si>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</si>
  <si>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</si>
  <si>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</si>
  <si>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</si>
  <si>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</si>
  <si>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</si>
  <si>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</si>
  <si>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</si>
  <si>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</si>
  <si>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</si>
  <si>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</si>
  <si>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</si>
  <si>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</si>
  <si>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</si>
  <si>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</si>
  <si>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</si>
  <si>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</si>
  <si>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</si>
  <si>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</si>
  <si>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</si>
  <si>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</si>
  <si>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</si>
  <si>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</si>
  <si>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</si>
  <si>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</si>
  <si>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</si>
  <si>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</si>
  <si>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</si>
  <si>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</si>
  <si>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</si>
  <si>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</si>
  <si>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</si>
  <si>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</si>
  <si>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</si>
  <si>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</si>
  <si>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</si>
  <si>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</si>
  <si>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</si>
  <si>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</si>
  <si>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</si>
  <si>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</si>
  <si>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</si>
  <si>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</si>
  <si>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</si>
  <si>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</si>
  <si>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</si>
  <si>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</si>
  <si>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</si>
  <si>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</si>
  <si>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</si>
  <si>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</si>
  <si>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</si>
  <si>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</si>
  <si>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</si>
  <si>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</si>
  <si>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</si>
  <si>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</si>
  <si>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</si>
  <si>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</si>
  <si>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</si>
  <si>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</si>
  <si>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</si>
  <si>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</si>
  <si>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</si>
  <si>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</si>
  <si>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</si>
  <si>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</si>
  <si>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</si>
  <si>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</si>
  <si>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</si>
  <si>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</si>
  <si>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</si>
  <si>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</si>
  <si>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</si>
  <si>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</si>
  <si>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</si>
  <si>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</si>
  <si>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</si>
  <si>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</si>
  <si>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</si>
  <si>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</si>
  <si>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</si>
  <si>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</si>
  <si>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</si>
  <si>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</si>
  <si>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</si>
  <si>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</si>
  <si>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</si>
  <si>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</si>
  <si>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</si>
  <si>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</si>
  <si>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</si>
  <si>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</si>
  <si>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</si>
  <si>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</si>
  <si>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</si>
  <si>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</si>
  <si>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</si>
  <si>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</si>
  <si>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</si>
  <si>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</si>
  <si>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</si>
  <si>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</si>
  <si>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</si>
  <si>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</si>
  <si>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</si>
  <si>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</si>
  <si>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</si>
  <si>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</si>
  <si>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</si>
  <si>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</si>
  <si>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</si>
  <si>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</si>
  <si>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</si>
  <si>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</si>
  <si>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</si>
  <si>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</si>
  <si>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</si>
  <si>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</si>
  <si>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</si>
  <si>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</si>
  <si>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</si>
  <si>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</si>
  <si>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</si>
  <si>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</si>
  <si>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</si>
  <si>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</si>
  <si>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</si>
  <si>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</si>
  <si>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</si>
  <si>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</si>
  <si>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</si>
  <si>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</si>
  <si>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</si>
  <si>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</si>
  <si>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</si>
  <si>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</si>
  <si>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</si>
  <si>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</si>
  <si>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</si>
  <si>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</si>
  <si>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</si>
  <si>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</si>
  <si>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</si>
  <si>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</si>
  <si>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</si>
  <si>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</si>
  <si>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</si>
  <si>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</si>
  <si>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</si>
  <si>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</si>
  <si>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</si>
  <si>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</si>
  <si>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</si>
  <si>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</si>
  <si>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</si>
  <si>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</si>
  <si>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</si>
  <si>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</si>
  <si>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</si>
  <si>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</si>
  <si>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</si>
  <si>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</si>
  <si>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</si>
  <si>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</si>
  <si>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</si>
  <si>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</si>
  <si>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</si>
  <si>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</si>
  <si>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</si>
  <si>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</si>
  <si>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</si>
  <si>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</si>
  <si>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</si>
  <si>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</si>
  <si>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</si>
  <si>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</si>
  <si>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</si>
  <si>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</si>
  <si>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</si>
  <si>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</si>
  <si>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</si>
  <si>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</si>
  <si>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</si>
  <si>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</si>
  <si>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</si>
  <si>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</si>
  <si>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</si>
  <si>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</si>
  <si>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</si>
  <si>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</si>
  <si>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</si>
  <si>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</si>
  <si>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</si>
  <si>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</si>
  <si>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</si>
  <si>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</si>
  <si>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</si>
  <si>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</si>
  <si>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</si>
  <si>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</si>
  <si>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</si>
  <si>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</si>
  <si>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</si>
  <si>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</si>
  <si>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</si>
  <si>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</si>
  <si>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</si>
  <si>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</si>
  <si>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</si>
  <si>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</si>
  <si>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</si>
  <si>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</si>
  <si>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</si>
  <si>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</si>
  <si>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</si>
  <si>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</si>
  <si>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</si>
  <si>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</si>
  <si>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</si>
  <si>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</si>
  <si>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</si>
  <si>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</si>
  <si>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</si>
  <si>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</si>
  <si>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</si>
  <si>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</si>
  <si>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</si>
  <si>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</si>
  <si>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</si>
  <si>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</si>
  <si>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</si>
  <si>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</si>
  <si>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</si>
  <si>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</si>
  <si>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</si>
  <si>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</si>
  <si>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</si>
  <si>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</si>
  <si>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</si>
  <si>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</si>
  <si>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</si>
  <si>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</si>
  <si>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</si>
  <si>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</si>
  <si>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</si>
  <si>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</si>
  <si>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</si>
  <si>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</si>
  <si>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</si>
  <si>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</si>
  <si>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</si>
  <si>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</si>
  <si>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</si>
  <si>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</si>
  <si>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</si>
  <si>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</si>
  <si>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</si>
  <si>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</si>
  <si>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</si>
  <si>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</si>
  <si>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</si>
  <si>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</si>
  <si>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</si>
  <si>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</si>
  <si>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</si>
  <si>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</si>
  <si>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</si>
  <si>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</si>
  <si>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</si>
  <si>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</si>
  <si>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</si>
  <si>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</si>
  <si>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</si>
  <si>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</si>
  <si>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</si>
  <si>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</si>
  <si>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</si>
  <si>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</si>
  <si>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</si>
  <si>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</si>
  <si>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</si>
  <si>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</si>
  <si>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</si>
  <si>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</si>
  <si>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</si>
  <si>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</si>
  <si>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</si>
  <si>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</si>
  <si>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</si>
  <si>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</si>
  <si>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</si>
  <si>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</si>
  <si>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</si>
  <si>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</si>
  <si>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</si>
  <si>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</si>
  <si>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</si>
  <si>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</si>
  <si>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</si>
  <si>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</si>
  <si>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</si>
  <si>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</si>
  <si>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</si>
  <si>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</si>
  <si>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</si>
  <si>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</si>
  <si>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</si>
  <si>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</si>
  <si>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</si>
  <si>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</si>
  <si>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</si>
  <si>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</si>
  <si>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</si>
  <si>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</si>
  <si>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</si>
  <si>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</si>
  <si>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</si>
  <si>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</si>
  <si>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</si>
  <si>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</si>
  <si>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</si>
  <si>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</si>
  <si>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</si>
  <si>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</si>
  <si>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</si>
  <si>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</si>
  <si>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</si>
  <si>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</si>
  <si>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</si>
  <si>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</si>
  <si>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</si>
  <si>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</si>
  <si>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</si>
  <si>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</si>
  <si>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</si>
  <si>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</si>
  <si>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</si>
  <si>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</si>
  <si>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</si>
  <si>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</si>
  <si>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</si>
  <si>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</si>
  <si>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</si>
  <si>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</si>
  <si>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</si>
  <si>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</si>
  <si>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</si>
  <si>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</si>
  <si>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</si>
  <si>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</si>
  <si>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</si>
  <si>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</si>
  <si>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</si>
  <si>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</si>
  <si>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</si>
  <si>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</si>
  <si>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</si>
  <si>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</si>
  <si>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</si>
  <si>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</si>
  <si>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</si>
  <si>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</si>
  <si>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</si>
  <si>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</si>
  <si>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</si>
  <si>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</si>
  <si>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</si>
  <si>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</si>
  <si>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</si>
  <si>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</si>
  <si>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</si>
  <si>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</si>
  <si>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</si>
  <si>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</si>
  <si>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</si>
  <si>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</si>
  <si>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</si>
  <si>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</si>
  <si>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</si>
  <si>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</si>
  <si>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</si>
  <si>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</si>
  <si>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</si>
  <si>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</si>
  <si>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</si>
  <si>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</si>
  <si>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</si>
  <si>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</si>
  <si>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</si>
  <si>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</si>
  <si>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</si>
  <si>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</si>
  <si>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</si>
  <si>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</si>
  <si>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</si>
  <si>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</si>
  <si>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</si>
  <si>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</si>
  <si>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</si>
  <si>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</si>
  <si>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</si>
  <si>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</si>
  <si>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</si>
  <si>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</si>
  <si>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</si>
  <si>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</si>
  <si>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</si>
  <si>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</si>
  <si>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</si>
  <si>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</si>
  <si>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</si>
  <si>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</si>
  <si>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</si>
  <si>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</si>
  <si>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</si>
  <si>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</si>
  <si>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</si>
  <si>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</si>
  <si>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</si>
  <si>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</si>
  <si>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</si>
  <si>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</si>
  <si>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</si>
  <si>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</si>
  <si>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</si>
  <si>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</si>
  <si>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</si>
  <si>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</si>
  <si>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</si>
  <si>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</si>
  <si>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</si>
  <si>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</si>
  <si>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</si>
  <si>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</si>
  <si>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</si>
  <si>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</si>
  <si>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</si>
  <si>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</si>
  <si>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</si>
  <si>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</si>
  <si>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</si>
  <si>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</si>
  <si>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</si>
  <si>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</si>
  <si>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</si>
  <si>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</si>
  <si>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</si>
  <si>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</si>
  <si>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</si>
  <si>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</si>
  <si>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</si>
  <si>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</si>
  <si>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</si>
  <si>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</si>
  <si>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</si>
  <si>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</si>
  <si>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</si>
  <si>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</si>
  <si>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</si>
  <si>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</si>
  <si>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</si>
  <si>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</si>
  <si>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</si>
  <si>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</si>
  <si>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</si>
  <si>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</si>
  <si>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</si>
  <si>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</si>
  <si>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</si>
  <si>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</si>
  <si>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</si>
  <si>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</si>
  <si>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</si>
  <si>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</si>
  <si>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</si>
  <si>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</si>
  <si>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</si>
  <si>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</si>
  <si>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</si>
  <si>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</si>
  <si>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</si>
  <si>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</si>
  <si>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</si>
  <si>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</si>
  <si>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</si>
  <si>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</si>
  <si>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</si>
  <si>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</si>
  <si>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</si>
  <si>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</si>
  <si>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</si>
  <si>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</si>
  <si>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</si>
  <si>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</si>
  <si>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</si>
  <si>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</si>
  <si>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</si>
  <si>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</si>
  <si>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</si>
  <si>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</si>
  <si>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</si>
  <si>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</si>
  <si>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</si>
  <si>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</si>
  <si>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</si>
  <si>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</si>
  <si>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</si>
  <si>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</si>
  <si>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</si>
  <si>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</si>
  <si>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</si>
  <si>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</si>
  <si>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</si>
  <si>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</si>
  <si>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</si>
  <si>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</si>
  <si>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</si>
  <si>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</si>
  <si>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</si>
  <si>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</si>
  <si>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</si>
  <si>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</si>
  <si>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</si>
  <si>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</si>
  <si>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</si>
  <si>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</si>
  <si>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</si>
  <si>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</si>
  <si>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</si>
  <si>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</si>
  <si>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</si>
  <si>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</si>
  <si>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</si>
  <si>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</si>
  <si>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</si>
  <si>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</si>
  <si>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</si>
  <si>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</si>
  <si>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</si>
  <si>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</si>
  <si>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</si>
  <si>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</si>
  <si>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</si>
  <si>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</si>
  <si>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</si>
  <si>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</si>
  <si>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</si>
  <si>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</si>
  <si>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</si>
  <si>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</si>
  <si>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</si>
  <si>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</si>
  <si>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</si>
  <si>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</si>
  <si>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</si>
  <si>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</si>
  <si>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</si>
  <si>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</si>
  <si>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</si>
  <si>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</si>
  <si>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</si>
  <si>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</si>
  <si>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</si>
  <si>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</si>
  <si>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</si>
  <si>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</si>
  <si>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</si>
  <si>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</si>
  <si>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</si>
  <si>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</si>
  <si>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</si>
  <si>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</si>
  <si>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</si>
  <si>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</si>
  <si>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</si>
  <si>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</si>
  <si>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</si>
  <si>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</si>
  <si>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</si>
  <si>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</si>
  <si>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</si>
  <si>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</si>
  <si>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</si>
  <si>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</si>
  <si>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</si>
  <si>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</si>
  <si>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</si>
  <si>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</si>
  <si>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</si>
  <si>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</si>
  <si>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</si>
  <si>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</si>
  <si>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</si>
  <si>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</si>
  <si>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</si>
  <si>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</si>
  <si>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</si>
  <si>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</si>
  <si>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</si>
  <si>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</si>
  <si>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</si>
  <si>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</si>
  <si>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</si>
  <si>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</si>
  <si>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</si>
  <si>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</si>
  <si>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</si>
  <si>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</si>
  <si>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</si>
  <si>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</si>
  <si>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</si>
  <si>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</si>
  <si>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</si>
  <si>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</si>
  <si>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</si>
  <si>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</si>
  <si>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</si>
  <si>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</si>
  <si>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</si>
  <si>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</si>
  <si>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</si>
  <si>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</si>
  <si>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</si>
  <si>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</si>
  <si>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</si>
  <si>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</si>
  <si>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</si>
  <si>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</si>
  <si>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</si>
  <si>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</si>
  <si>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</si>
  <si>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</si>
  <si>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</si>
  <si>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</si>
  <si>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</si>
  <si>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</si>
  <si>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</si>
  <si>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</si>
  <si>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</si>
  <si>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</si>
  <si>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</si>
  <si>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</si>
  <si>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</si>
  <si>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</si>
  <si>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</si>
  <si>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</si>
  <si>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</si>
  <si>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</si>
  <si>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</si>
  <si>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</si>
  <si>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</si>
  <si>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</si>
  <si>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</si>
  <si>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</si>
  <si>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</si>
  <si>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</si>
  <si>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</si>
  <si>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</si>
  <si>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</si>
  <si>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</si>
  <si>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</si>
  <si>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</si>
  <si>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</si>
  <si>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</si>
  <si>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</si>
  <si>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</si>
  <si>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</si>
  <si>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</si>
  <si>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</si>
  <si>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</si>
  <si>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</si>
  <si>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</si>
  <si>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</si>
  <si>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</si>
  <si>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</si>
  <si>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</si>
  <si>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</si>
  <si>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</si>
  <si>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</si>
  <si>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</si>
  <si>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</si>
  <si>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</si>
  <si>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</si>
  <si>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</si>
  <si>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</si>
  <si>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</si>
  <si>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</si>
  <si>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</si>
  <si>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</si>
  <si>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</si>
  <si>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</si>
  <si>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</si>
  <si>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</si>
  <si>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</si>
  <si>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</si>
  <si>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</si>
  <si>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</si>
  <si>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</si>
  <si>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</si>
  <si>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</si>
  <si>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</si>
  <si>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</si>
  <si>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</si>
  <si>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</si>
  <si>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</si>
  <si>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</si>
  <si>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</si>
  <si>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</si>
  <si>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</si>
  <si>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</si>
  <si>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</si>
  <si>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</si>
  <si>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</si>
  <si>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</si>
  <si>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</si>
  <si>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</si>
  <si>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</si>
  <si>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</si>
  <si>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</si>
  <si>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</si>
  <si>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</si>
  <si>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</si>
  <si>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</si>
  <si>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</si>
  <si>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</si>
  <si>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</si>
  <si>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</si>
  <si>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</si>
  <si>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</si>
  <si>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</si>
  <si>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</si>
  <si>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</si>
  <si>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</si>
  <si>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</si>
  <si>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</si>
  <si>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</si>
  <si>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</si>
  <si>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</si>
  <si>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</si>
  <si>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</si>
  <si>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</si>
  <si>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</si>
  <si>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</si>
  <si>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</si>
  <si>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</si>
  <si>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</si>
  <si>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</si>
  <si>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</si>
  <si>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</si>
  <si>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</si>
  <si>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</si>
  <si>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</si>
  <si>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</si>
  <si>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</si>
  <si>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</si>
  <si>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</si>
  <si>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</si>
  <si>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</si>
  <si>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</si>
  <si>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</si>
  <si>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</si>
  <si>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</si>
  <si>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</si>
  <si>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</si>
  <si>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</si>
  <si>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</si>
  <si>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</si>
  <si>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</si>
  <si>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</si>
  <si>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</si>
  <si>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</si>
  <si>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</si>
  <si>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</si>
  <si>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</si>
  <si>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</si>
  <si>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</si>
  <si>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</si>
  <si>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</si>
  <si>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</si>
  <si>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</si>
  <si>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</si>
  <si>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</si>
  <si>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</si>
  <si>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</si>
  <si>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</si>
  <si>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</si>
  <si>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</si>
  <si>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</si>
  <si>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</si>
  <si>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</si>
  <si>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</si>
  <si>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</si>
  <si>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</si>
  <si>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</si>
  <si>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</si>
  <si>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</si>
  <si>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</si>
  <si>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</si>
  <si>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</si>
  <si>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</si>
  <si>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</si>
  <si>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</si>
  <si>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</si>
  <si>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</si>
  <si>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</si>
  <si>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</si>
  <si>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</si>
  <si>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</si>
  <si>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</si>
  <si>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</si>
  <si>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</si>
  <si>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</si>
  <si>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</si>
  <si>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</si>
  <si>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</si>
  <si>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</si>
  <si>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</si>
  <si>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</si>
  <si>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</si>
  <si>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</si>
  <si>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</si>
  <si>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</si>
  <si>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</si>
  <si>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</si>
  <si>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</si>
  <si>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</si>
  <si>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</si>
  <si>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</si>
  <si>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</si>
  <si>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</si>
  <si>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</si>
  <si>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</si>
  <si>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</si>
  <si>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</si>
  <si>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</si>
  <si>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</si>
  <si>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</si>
  <si>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</si>
  <si>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</si>
  <si>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</si>
  <si>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</si>
  <si>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</si>
  <si>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</si>
  <si>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</si>
  <si>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</si>
  <si>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</si>
  <si>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</si>
  <si>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</si>
  <si>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</si>
  <si>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</si>
  <si>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</si>
  <si>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</si>
  <si>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</si>
  <si>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</si>
  <si>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</si>
  <si>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</si>
  <si>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</si>
  <si>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</si>
  <si>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</si>
  <si>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</si>
  <si>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</si>
  <si>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</si>
  <si>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</si>
  <si>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</si>
  <si>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</si>
  <si>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</si>
  <si>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</si>
  <si>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</si>
  <si>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</si>
  <si>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</si>
  <si>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</si>
  <si>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</si>
  <si>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</si>
  <si>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</si>
  <si>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</si>
  <si>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</si>
  <si>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</si>
  <si>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</si>
  <si>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</si>
  <si>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</si>
  <si>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</si>
  <si>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</si>
  <si>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</si>
  <si>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</si>
  <si>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</si>
  <si>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</si>
  <si>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</si>
  <si>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</si>
  <si>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</si>
  <si>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</si>
  <si>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</si>
  <si>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</si>
  <si>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</si>
  <si>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</si>
  <si>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</si>
  <si>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</si>
  <si>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</si>
  <si>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</si>
  <si>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</si>
  <si>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</si>
  <si>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</si>
  <si>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</si>
  <si>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</si>
  <si>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</si>
  <si>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</si>
  <si>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</si>
  <si>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</si>
  <si>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</si>
  <si>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</si>
  <si>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</si>
  <si>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</si>
  <si>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</si>
  <si>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</si>
  <si>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</si>
  <si>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</si>
  <si>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</si>
  <si>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</si>
  <si>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</si>
  <si>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</si>
  <si>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</si>
  <si>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</si>
  <si>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</si>
  <si>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</si>
  <si>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</si>
  <si>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</si>
  <si>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</si>
  <si>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</si>
  <si>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</si>
  <si>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</si>
  <si>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</si>
  <si>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</si>
  <si>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</si>
  <si>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</si>
  <si>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</si>
  <si>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</si>
  <si>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</si>
  <si>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</si>
  <si>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</si>
  <si>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</si>
  <si>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</si>
  <si>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</si>
  <si>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</si>
  <si>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</si>
  <si>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</si>
  <si>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</si>
  <si>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</si>
  <si>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</si>
  <si>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</si>
  <si>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</si>
  <si>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</si>
  <si>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</si>
  <si>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</si>
  <si>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</si>
  <si>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</si>
  <si>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</si>
  <si>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</si>
  <si>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</si>
  <si>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</si>
  <si>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</si>
  <si>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</si>
  <si>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</si>
  <si>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</si>
  <si>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</si>
  <si>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</si>
  <si>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</si>
  <si>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</si>
  <si>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</si>
  <si>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</si>
  <si>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</si>
  <si>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</si>
  <si>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</si>
  <si>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</si>
  <si>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</si>
  <si>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</si>
  <si>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</si>
  <si>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</si>
  <si>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</si>
  <si>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</si>
  <si>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</si>
  <si>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</si>
  <si>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</si>
  <si>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</si>
  <si>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</si>
  <si>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</si>
  <si>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</si>
  <si>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</si>
  <si>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</si>
  <si>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</si>
  <si>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</si>
  <si>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</si>
  <si>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</si>
  <si>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</si>
  <si>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</si>
  <si>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</si>
  <si>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</si>
  <si>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</si>
  <si>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</si>
  <si>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</si>
  <si>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</si>
  <si>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</si>
  <si>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</si>
  <si>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</si>
  <si>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</si>
  <si>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</si>
  <si>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</si>
  <si>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</si>
  <si>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</si>
  <si>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</si>
  <si>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</si>
  <si>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</si>
  <si>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</si>
  <si>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</si>
  <si>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</si>
  <si>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</si>
  <si>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</si>
  <si>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</si>
  <si>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</si>
  <si>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</si>
  <si>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</si>
  <si>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</si>
  <si>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</si>
  <si>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</si>
  <si>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</si>
  <si>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</si>
  <si>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</si>
  <si>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</si>
  <si>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</si>
  <si>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</si>
  <si>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</si>
  <si>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</si>
  <si>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</si>
  <si>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</si>
  <si>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</si>
  <si>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</si>
  <si>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</si>
  <si>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</si>
  <si>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</si>
  <si>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</si>
  <si>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</si>
  <si>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</si>
  <si>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</si>
  <si>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</si>
  <si>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</si>
  <si>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</si>
  <si>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</si>
  <si>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</si>
  <si>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</si>
  <si>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</si>
  <si>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</si>
  <si>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</si>
  <si>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</si>
  <si>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</si>
  <si>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</si>
  <si>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</si>
  <si>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</si>
  <si>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</si>
  <si>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</si>
  <si>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</si>
  <si>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</si>
  <si>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</si>
  <si>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</si>
  <si>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</si>
  <si>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</si>
  <si>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</si>
  <si>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</si>
  <si>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</si>
  <si>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</si>
  <si>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</si>
  <si>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</si>
  <si>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</si>
  <si>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</si>
  <si>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</si>
  <si>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</si>
  <si>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</si>
  <si>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</si>
  <si>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</si>
  <si>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</si>
  <si>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</si>
  <si>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</si>
  <si>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</si>
  <si>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</si>
  <si>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</si>
  <si>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</si>
  <si>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</si>
  <si>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</si>
  <si>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</si>
  <si>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</si>
  <si>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</si>
  <si>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</si>
  <si>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</si>
  <si>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</si>
  <si>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</si>
  <si>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</si>
  <si>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</si>
  <si>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</si>
  <si>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</si>
  <si>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</si>
  <si>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</si>
  <si>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</si>
  <si>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</si>
  <si>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</si>
  <si>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</si>
  <si>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</si>
  <si>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</si>
  <si>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</si>
  <si>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</si>
  <si>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</si>
  <si>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</si>
  <si>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</si>
  <si>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</si>
  <si>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</si>
  <si>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</si>
  <si>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</si>
  <si>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</si>
  <si>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</si>
  <si>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</si>
  <si>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</si>
  <si>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</si>
  <si>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</si>
  <si>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</si>
  <si>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</si>
  <si>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</si>
  <si>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</si>
  <si>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</si>
  <si>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</si>
  <si>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</si>
  <si>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</si>
  <si>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</si>
  <si>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</si>
  <si>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</si>
  <si>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</si>
  <si>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</si>
  <si>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</si>
  <si>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</si>
  <si>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</si>
  <si>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</si>
  <si>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</si>
  <si>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</si>
  <si>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</si>
  <si>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</si>
  <si>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</si>
  <si>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</si>
  <si>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</si>
  <si>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</si>
  <si>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</si>
  <si>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</si>
  <si>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</si>
  <si>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</si>
  <si>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</si>
  <si>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</si>
  <si>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</si>
  <si>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</si>
  <si>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</si>
  <si>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</si>
  <si>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</si>
  <si>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</si>
  <si>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</si>
  <si>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</si>
  <si>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</si>
  <si>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</si>
  <si>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</si>
  <si>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</si>
  <si>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</si>
  <si>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</si>
  <si>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</si>
  <si>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</si>
  <si>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</si>
  <si>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</si>
  <si>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</si>
  <si>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</si>
  <si>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</si>
  <si>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</si>
  <si>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</si>
  <si>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</si>
  <si>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</si>
  <si>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</si>
  <si>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</si>
  <si>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</si>
  <si>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</si>
  <si>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</si>
  <si>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</si>
  <si>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</si>
  <si>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</si>
  <si>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</si>
  <si>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</si>
  <si>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</si>
  <si>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</si>
  <si>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</si>
  <si>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</si>
  <si>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</si>
  <si>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</si>
  <si>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</si>
  <si>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</si>
  <si>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</si>
  <si>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</si>
  <si>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</si>
  <si>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</si>
  <si>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</si>
  <si>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</si>
  <si>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</si>
  <si>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</si>
  <si>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</si>
  <si>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</si>
  <si>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</si>
  <si>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</si>
  <si>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</si>
  <si>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</si>
  <si>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</si>
  <si>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</si>
  <si>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</si>
  <si>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</si>
  <si>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</si>
  <si>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</si>
  <si>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</si>
  <si>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</si>
  <si>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</si>
  <si>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</si>
  <si>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</si>
  <si>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</si>
  <si>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</si>
  <si>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</si>
  <si>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</si>
  <si>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</si>
  <si>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</si>
  <si>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</si>
  <si>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</si>
  <si>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</si>
  <si>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</si>
  <si>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</si>
  <si>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</si>
  <si>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</si>
  <si>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</si>
  <si>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</si>
  <si>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</si>
  <si>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</si>
  <si>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</si>
  <si>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</si>
  <si>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</si>
  <si>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</si>
  <si>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</si>
  <si>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</si>
  <si>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</si>
  <si>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</si>
  <si>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</si>
  <si>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</si>
  <si>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</si>
  <si>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</si>
  <si>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</si>
  <si>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</si>
  <si>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</si>
  <si>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</si>
  <si>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</si>
  <si>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</si>
  <si>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</si>
  <si>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</si>
  <si>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</si>
  <si>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</si>
  <si>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</si>
  <si>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</si>
  <si>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</si>
  <si>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</si>
  <si>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</si>
  <si>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</si>
  <si>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</si>
  <si>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</si>
  <si>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</si>
  <si>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</si>
  <si>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</si>
  <si>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</si>
  <si>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</si>
  <si>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</si>
  <si>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</si>
  <si>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</si>
  <si>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</si>
  <si>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</si>
  <si>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</si>
  <si>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</si>
  <si>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</si>
  <si>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</si>
  <si>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</si>
  <si>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</si>
  <si>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</si>
  <si>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</si>
  <si>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</si>
  <si>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</si>
  <si>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</si>
  <si>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</si>
  <si>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</si>
  <si>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</si>
  <si>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</si>
  <si>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</si>
  <si>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</si>
  <si>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</si>
  <si>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</si>
  <si>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</si>
  <si>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</si>
  <si>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</si>
  <si>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</si>
  <si>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</si>
  <si>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</si>
  <si>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</si>
  <si>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</si>
  <si>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</si>
  <si>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</si>
  <si>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</si>
  <si>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</si>
  <si>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</si>
  <si>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</si>
  <si>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</si>
  <si>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</si>
  <si>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</si>
  <si>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</si>
  <si>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</si>
  <si>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</si>
  <si>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</si>
  <si>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</si>
  <si>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</si>
  <si>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</si>
  <si>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</si>
  <si>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</si>
  <si>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</si>
  <si>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</si>
  <si>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</si>
  <si>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</si>
  <si>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</si>
  <si>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</si>
  <si>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</si>
  <si>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</si>
  <si>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</si>
  <si>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</si>
  <si>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</si>
  <si>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</si>
  <si>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</si>
  <si>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</si>
  <si>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</si>
  <si>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</si>
  <si>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</si>
  <si>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</si>
  <si>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</si>
  <si>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</si>
  <si>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</si>
  <si>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</si>
  <si>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</si>
  <si>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</si>
  <si>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</si>
  <si>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</si>
  <si>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</si>
  <si>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</si>
  <si>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</si>
  <si>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</si>
  <si>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</si>
  <si>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</si>
  <si>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</si>
  <si>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</si>
  <si>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</si>
  <si>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</si>
  <si>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</si>
  <si>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</si>
  <si>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</si>
  <si>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</si>
  <si>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</si>
  <si>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</si>
  <si>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</si>
  <si>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</si>
  <si>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</si>
  <si>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</si>
  <si>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</si>
  <si>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</si>
  <si>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</si>
  <si>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</si>
  <si>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</si>
  <si>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</si>
  <si>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</si>
  <si>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</si>
  <si>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</si>
  <si>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</si>
  <si>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</si>
  <si>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</si>
  <si>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</si>
  <si>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</si>
  <si>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</si>
  <si>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</si>
  <si>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</si>
  <si>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</si>
  <si>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</si>
  <si>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</si>
  <si>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</si>
  <si>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</si>
  <si>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</si>
  <si>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</si>
  <si>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</si>
  <si>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</si>
  <si>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</si>
  <si>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</si>
  <si>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</si>
  <si>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</si>
  <si>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</si>
  <si>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</si>
  <si>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</si>
  <si>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</si>
  <si>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</si>
  <si>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</si>
  <si>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</si>
  <si>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</si>
  <si>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</si>
  <si>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</si>
  <si>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</si>
  <si>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</si>
  <si>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</si>
  <si>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</si>
  <si>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</si>
  <si>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</si>
  <si>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</si>
  <si>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</si>
  <si>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</si>
  <si>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</si>
  <si>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</si>
  <si>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</si>
  <si>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</si>
  <si>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</si>
  <si>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</si>
  <si>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</si>
  <si>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</si>
  <si>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</si>
  <si>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</si>
  <si>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</si>
  <si>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</si>
  <si>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</si>
  <si>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</si>
  <si>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</si>
  <si>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</si>
  <si>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</si>
  <si>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</si>
  <si>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</si>
  <si>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</si>
  <si>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</si>
  <si>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</si>
  <si>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</si>
  <si>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</si>
  <si>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</si>
  <si>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</si>
  <si>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</si>
  <si>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</si>
  <si>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</si>
  <si>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</si>
  <si>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</si>
  <si>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</si>
  <si>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</si>
  <si>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</si>
  <si>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</si>
  <si>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</si>
  <si>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</si>
  <si>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</si>
  <si>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</si>
  <si>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</si>
  <si>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</si>
  <si>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</si>
  <si>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</si>
  <si>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</si>
  <si>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</si>
  <si>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</si>
  <si>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</si>
  <si>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</si>
  <si>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</si>
  <si>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</si>
  <si>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</si>
  <si>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</si>
  <si>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</si>
  <si>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</si>
  <si>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</si>
  <si>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</si>
  <si>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</si>
  <si>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</si>
  <si>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</si>
  <si>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</si>
  <si>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</si>
  <si>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</si>
  <si>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</si>
  <si>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</si>
  <si>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</si>
  <si>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</si>
  <si>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</si>
  <si>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</si>
  <si>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</si>
  <si>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</si>
  <si>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</si>
  <si>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</si>
  <si>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</si>
  <si>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</si>
  <si>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</si>
  <si>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</si>
  <si>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</si>
  <si>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</si>
  <si>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</si>
  <si>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</si>
  <si>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</si>
  <si>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</si>
  <si>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</si>
  <si>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</si>
  <si>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</si>
  <si>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</si>
  <si>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</si>
  <si>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</si>
  <si>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</si>
  <si>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</si>
  <si>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</si>
  <si>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</si>
  <si>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</si>
  <si>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</si>
  <si>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</si>
  <si>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</si>
  <si>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</si>
  <si>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</si>
  <si>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</si>
  <si>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</si>
  <si>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</si>
  <si>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</si>
  <si>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</si>
  <si>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</si>
  <si>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</si>
  <si>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</si>
  <si>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</si>
  <si>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</si>
  <si>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</si>
  <si>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</si>
  <si>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</si>
  <si>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</si>
  <si>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</si>
  <si>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</si>
  <si>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</si>
  <si>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</si>
  <si>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</si>
  <si>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</si>
  <si>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</si>
  <si>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</si>
  <si>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</si>
  <si>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</si>
  <si>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</si>
  <si>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</si>
  <si>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</si>
  <si>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</si>
  <si>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</si>
  <si>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</si>
  <si>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</si>
  <si>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</si>
  <si>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</si>
  <si>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</si>
  <si>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</si>
  <si>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</si>
  <si>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</si>
  <si>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</si>
  <si>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</si>
  <si>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</si>
  <si>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</si>
  <si>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</si>
  <si>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</si>
  <si>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</si>
  <si>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</si>
  <si>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</si>
  <si>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</si>
  <si>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</si>
  <si>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</si>
  <si>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</si>
  <si>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</si>
  <si>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</si>
  <si>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</si>
  <si>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</si>
  <si>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</si>
  <si>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</si>
  <si>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</si>
  <si>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</si>
  <si>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</si>
  <si>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</si>
  <si>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</si>
  <si>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</si>
  <si>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</si>
  <si>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</si>
  <si>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</si>
  <si>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</si>
  <si>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</si>
  <si>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</si>
  <si>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</si>
  <si>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</si>
  <si>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</si>
  <si>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</si>
  <si>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</si>
  <si>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</si>
  <si>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</si>
  <si>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</si>
  <si>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</si>
  <si>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</si>
  <si>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</si>
  <si>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</si>
  <si>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</si>
  <si>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</si>
  <si>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</si>
  <si>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</si>
  <si>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</si>
  <si>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</si>
  <si>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</si>
  <si>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</si>
  <si>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</si>
  <si>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</si>
  <si>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</si>
  <si>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</si>
  <si>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</si>
  <si>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</si>
  <si>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</si>
  <si>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</si>
  <si>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</si>
  <si>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</si>
  <si>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</si>
  <si>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</si>
  <si>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</si>
  <si>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</si>
  <si>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</si>
  <si>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</si>
  <si>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</si>
  <si>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</si>
  <si>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</si>
  <si>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</si>
  <si>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</si>
  <si>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</si>
  <si>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</si>
  <si>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</si>
  <si>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</si>
  <si>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</si>
  <si>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</si>
  <si>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</si>
  <si>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</si>
  <si>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</si>
  <si>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</si>
  <si>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</si>
  <si>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</si>
  <si>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</si>
  <si>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</si>
  <si>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</si>
  <si>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</si>
  <si>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</si>
  <si>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</si>
  <si>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</si>
  <si>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</si>
  <si>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</si>
  <si>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</si>
  <si>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</si>
  <si>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</si>
  <si>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</si>
  <si>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</si>
  <si>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</si>
  <si>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</si>
  <si>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</si>
  <si>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</si>
  <si>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</si>
  <si>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</si>
  <si>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</si>
  <si>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</si>
  <si>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</si>
  <si>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</si>
  <si>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</si>
  <si>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</si>
  <si>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</si>
  <si>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</si>
  <si>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</si>
  <si>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</si>
  <si>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</si>
  <si>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</si>
  <si>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</si>
  <si>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</si>
  <si>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</si>
  <si>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</si>
  <si>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</si>
  <si>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</si>
  <si>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</si>
  <si>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</si>
  <si>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</si>
  <si>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</si>
  <si>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</si>
  <si>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</si>
  <si>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</si>
  <si>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</si>
  <si>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</si>
  <si>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</si>
  <si>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</si>
  <si>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</si>
  <si>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</si>
  <si>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</si>
  <si>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</si>
  <si>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</si>
  <si>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</si>
  <si>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</si>
  <si>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</si>
  <si>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</si>
  <si>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</si>
  <si>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</si>
  <si>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</si>
  <si>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</si>
  <si>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</si>
  <si>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</si>
  <si>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</si>
  <si>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</si>
  <si>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</si>
  <si>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</si>
  <si>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</si>
  <si>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</si>
  <si>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</si>
  <si>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</si>
  <si>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</si>
  <si>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</si>
  <si>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</si>
  <si>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</si>
  <si>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</si>
  <si>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</si>
  <si>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</si>
  <si>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</si>
  <si>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</si>
  <si>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</si>
  <si>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</si>
  <si>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</si>
  <si>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</si>
  <si>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</si>
  <si>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</si>
  <si>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</si>
  <si>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</si>
  <si>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</si>
  <si>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</si>
  <si>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</si>
  <si>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</si>
  <si>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</si>
  <si>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</si>
  <si>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</si>
  <si>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</si>
  <si>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</si>
  <si>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</si>
  <si>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</si>
  <si>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</si>
  <si>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</si>
  <si>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</si>
  <si>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</si>
  <si>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</si>
  <si>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</si>
  <si>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</si>
  <si>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</si>
  <si>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</si>
  <si>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</si>
  <si>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</si>
  <si>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</si>
  <si>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</si>
  <si>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</si>
  <si>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</si>
  <si>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</si>
  <si>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</si>
  <si>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</si>
  <si>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</si>
  <si>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</si>
  <si>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</si>
  <si>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</si>
  <si>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</si>
  <si>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</si>
  <si>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</si>
  <si>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</si>
  <si>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</si>
  <si>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</si>
  <si>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</si>
  <si>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</si>
  <si>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</si>
  <si>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</si>
  <si>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</si>
  <si>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</si>
  <si>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</si>
  <si>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</si>
  <si>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</si>
  <si>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</si>
  <si>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</si>
  <si>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</si>
  <si>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</si>
  <si>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</si>
  <si>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</si>
  <si>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</si>
  <si>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</si>
  <si>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</si>
  <si>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</si>
  <si>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</si>
  <si>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</si>
  <si>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</si>
  <si>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</si>
  <si>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</si>
  <si>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</si>
  <si>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</si>
  <si>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</si>
  <si>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</si>
  <si>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</si>
  <si>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</si>
  <si>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</si>
  <si>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</si>
  <si>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</si>
  <si>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</si>
  <si>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</si>
  <si>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</si>
  <si>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</si>
  <si>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</si>
  <si>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</si>
  <si>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</si>
  <si>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</si>
  <si>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</si>
  <si>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</si>
  <si>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</si>
  <si>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</si>
  <si>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</si>
  <si>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</si>
  <si>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</si>
  <si>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</si>
  <si>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</si>
  <si>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</si>
  <si>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</si>
  <si>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</si>
  <si>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</si>
  <si>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</si>
  <si>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</si>
  <si>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</si>
  <si>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</si>
  <si>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</si>
  <si>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</si>
  <si>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</si>
  <si>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</si>
  <si>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</si>
  <si>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</si>
  <si>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</si>
  <si>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</si>
  <si>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</si>
  <si>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</si>
  <si>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</si>
  <si>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</si>
  <si>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</si>
  <si>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</si>
  <si>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</si>
  <si>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</si>
  <si>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</si>
  <si>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</si>
  <si>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</si>
  <si>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</si>
  <si>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</si>
  <si>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</si>
  <si>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</si>
  <si>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</si>
  <si>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</si>
  <si>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</si>
  <si>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</si>
  <si>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</si>
  <si>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</si>
  <si>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</si>
  <si>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</si>
  <si>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</si>
  <si>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</si>
  <si>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</si>
  <si>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</si>
  <si>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</si>
  <si>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</si>
  <si>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</si>
  <si>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</si>
  <si>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</si>
  <si>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</si>
  <si>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</si>
  <si>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</si>
  <si>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</si>
  <si>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</si>
  <si>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</si>
  <si>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</si>
  <si>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</si>
  <si>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</si>
  <si>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</si>
  <si>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</si>
  <si>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</si>
  <si>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</si>
  <si>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</si>
  <si>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</si>
  <si>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</si>
  <si>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</si>
  <si>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</si>
  <si>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</si>
  <si>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</si>
  <si>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</si>
  <si>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</si>
  <si>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</si>
  <si>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</si>
  <si>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</si>
  <si>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</si>
  <si>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</si>
  <si>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</si>
  <si>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</si>
  <si>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</si>
  <si>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</si>
  <si>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</si>
  <si>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</si>
  <si>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</si>
  <si>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</si>
  <si>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</si>
  <si>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</si>
  <si>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</si>
  <si>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</si>
  <si>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</si>
  <si>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</si>
  <si>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</si>
  <si>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</si>
  <si>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</si>
  <si>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</si>
  <si>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</si>
  <si>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</si>
  <si>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</si>
  <si>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</si>
  <si>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</si>
  <si>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</si>
  <si>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</si>
  <si>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</si>
  <si>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</si>
  <si>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</si>
  <si>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</si>
  <si>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</si>
  <si>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</si>
  <si>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</si>
  <si>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</si>
  <si>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</si>
  <si>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</si>
  <si>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</si>
  <si>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</si>
  <si>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</si>
  <si>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</si>
  <si>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</si>
  <si>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</si>
  <si>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</si>
  <si>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</si>
  <si>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</si>
  <si>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</si>
  <si>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</si>
  <si>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</si>
  <si>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</si>
  <si>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</si>
  <si>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</si>
  <si>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</si>
  <si>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</si>
  <si>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</si>
  <si>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</si>
  <si>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</si>
  <si>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</si>
  <si>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</si>
  <si>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</si>
  <si>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</si>
  <si>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</si>
  <si>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</si>
  <si>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</si>
  <si>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</si>
  <si>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</si>
  <si>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</si>
  <si>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</si>
  <si>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</si>
  <si>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</si>
  <si>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</si>
  <si>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</si>
  <si>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</si>
  <si>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</si>
  <si>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</si>
  <si>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</si>
  <si>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</si>
  <si>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</si>
  <si>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</si>
  <si>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</si>
  <si>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</si>
  <si>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</si>
  <si>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</si>
  <si>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</si>
  <si>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</si>
  <si>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</si>
  <si>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</si>
  <si>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</si>
  <si>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</si>
  <si>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</si>
  <si>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</si>
  <si>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</si>
  <si>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</si>
  <si>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</si>
  <si>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</si>
  <si>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</si>
  <si>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</si>
  <si>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</si>
  <si>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</si>
  <si>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</si>
  <si>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</si>
  <si>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</si>
  <si>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</si>
  <si>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</si>
  <si>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</si>
  <si>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</si>
  <si>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</si>
  <si>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</si>
  <si>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</si>
  <si>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</si>
  <si>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</si>
  <si>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</si>
  <si>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</si>
  <si>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</si>
  <si>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</si>
  <si>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</si>
  <si>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</si>
  <si>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</si>
  <si>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</si>
  <si>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</si>
  <si>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</si>
  <si>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</si>
  <si>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</si>
  <si>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</si>
  <si>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</si>
  <si>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</si>
  <si>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</si>
  <si>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</si>
  <si>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</si>
  <si>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</si>
  <si>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</si>
  <si>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</si>
  <si>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</si>
  <si>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</si>
  <si>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</si>
  <si>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</si>
  <si>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</si>
  <si>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</si>
  <si>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</si>
  <si>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</si>
  <si>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</si>
  <si>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</si>
  <si>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</si>
  <si>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</si>
  <si>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</si>
  <si>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</si>
  <si>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</si>
  <si>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</si>
  <si>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</si>
  <si>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</si>
  <si>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</si>
  <si>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</si>
  <si>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</si>
  <si>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</si>
  <si>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</si>
  <si>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</si>
  <si>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</si>
  <si>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</si>
  <si>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</si>
  <si>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</si>
  <si>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</si>
  <si>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</si>
  <si>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</si>
  <si>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</si>
  <si>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</si>
  <si>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</si>
  <si>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</si>
  <si>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</si>
  <si>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</si>
  <si>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</si>
  <si>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</si>
  <si>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</si>
  <si>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</si>
  <si>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</si>
  <si>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</si>
  <si>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</si>
  <si>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</si>
  <si>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</si>
  <si>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</si>
  <si>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</si>
  <si>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</si>
  <si>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</si>
  <si>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</si>
  <si>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</si>
  <si>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</si>
  <si>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</si>
  <si>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</si>
  <si>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</si>
  <si>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</si>
  <si>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</si>
  <si>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</si>
  <si>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</si>
  <si>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</si>
  <si>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</si>
  <si>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</si>
  <si>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</si>
  <si>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</si>
  <si>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</si>
  <si>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</si>
  <si>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</si>
  <si>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</si>
  <si>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</si>
  <si>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</si>
  <si>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</si>
  <si>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</si>
  <si>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</si>
  <si>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</si>
  <si>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</si>
  <si>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</si>
  <si>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</si>
  <si>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</si>
  <si>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</si>
  <si>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</si>
  <si>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</si>
  <si>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</si>
  <si>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</si>
  <si>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</si>
  <si>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</si>
  <si>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</si>
  <si>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</si>
  <si>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</si>
  <si>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</si>
  <si>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</si>
  <si>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</si>
  <si>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</si>
  <si>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</si>
  <si>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</si>
  <si>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</si>
  <si>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</si>
  <si>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</si>
  <si>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</si>
  <si>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</si>
  <si>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</si>
  <si>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</si>
  <si>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</si>
  <si>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</si>
  <si>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</si>
  <si>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</si>
  <si>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</si>
  <si>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</si>
  <si>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</si>
  <si>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</si>
  <si>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</si>
  <si>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</si>
  <si>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</si>
  <si>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</si>
  <si>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</si>
  <si>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</si>
  <si>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</si>
  <si>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</si>
  <si>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</si>
  <si>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</si>
  <si>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</si>
  <si>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</si>
  <si>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</si>
  <si>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</si>
  <si>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</si>
  <si>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</si>
  <si>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</si>
  <si>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</si>
  <si>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</si>
  <si>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</si>
  <si>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</si>
  <si>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</si>
  <si>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</si>
  <si>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</si>
  <si>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</si>
  <si>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</si>
  <si>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</si>
  <si>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</si>
  <si>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</si>
  <si>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</si>
  <si>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</si>
  <si>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</si>
  <si>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</si>
  <si>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</si>
  <si>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</si>
  <si>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</si>
  <si>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</si>
  <si>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</si>
  <si>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</si>
  <si>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</si>
  <si>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</si>
  <si>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</si>
  <si>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</si>
  <si>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</si>
  <si>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</si>
  <si>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</si>
  <si>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</si>
  <si>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</si>
  <si>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</si>
  <si>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</si>
  <si>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</si>
  <si>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</si>
  <si>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</si>
  <si>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</si>
  <si>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</si>
  <si>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</si>
  <si>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</si>
  <si>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</si>
  <si>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</si>
  <si>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</si>
  <si>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</si>
  <si>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</si>
  <si>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</si>
  <si>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</si>
  <si>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</si>
  <si>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</si>
  <si>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</si>
  <si>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</si>
  <si>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</si>
  <si>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</si>
  <si>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</si>
  <si>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</si>
  <si>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</si>
  <si>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</si>
  <si>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</si>
  <si>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</si>
  <si>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</si>
  <si>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</si>
  <si>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</si>
  <si>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</si>
  <si>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</si>
  <si>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</si>
  <si>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</si>
  <si>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</si>
  <si>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</si>
  <si>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</si>
  <si>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</si>
  <si>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</si>
  <si>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</si>
  <si>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</si>
  <si>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</si>
  <si>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</si>
  <si>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</si>
  <si>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</si>
  <si>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</si>
  <si>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</si>
  <si>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</si>
  <si>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</si>
  <si>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</si>
  <si>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</si>
  <si>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</si>
  <si>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</si>
  <si>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</si>
  <si>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</si>
  <si>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</si>
  <si>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</si>
  <si>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</si>
  <si>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</si>
  <si>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</si>
  <si>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</si>
  <si>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</si>
  <si>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</si>
  <si>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</si>
  <si>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</si>
  <si>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</si>
  <si>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</si>
  <si>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</si>
  <si>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</si>
  <si>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</si>
  <si>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</si>
  <si>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</si>
  <si>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</si>
  <si>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</si>
  <si>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</si>
  <si>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</si>
  <si>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</si>
  <si>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</si>
  <si>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</si>
  <si>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</si>
  <si>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</si>
  <si>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</si>
  <si>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</si>
  <si>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</si>
  <si>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</si>
  <si>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</si>
  <si>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</si>
  <si>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</si>
  <si>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</si>
  <si>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</si>
  <si>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</si>
  <si>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</si>
  <si>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</si>
  <si>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</si>
  <si>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</si>
  <si>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</si>
  <si>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</si>
  <si>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</si>
  <si>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</si>
  <si>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</si>
  <si>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</si>
  <si>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</si>
  <si>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</si>
  <si>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</si>
  <si>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</si>
  <si>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</si>
  <si>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</si>
  <si>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</si>
  <si>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</si>
  <si>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</si>
  <si>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</si>
  <si>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</si>
  <si>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</si>
  <si>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</si>
  <si>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</si>
  <si>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</si>
  <si>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</si>
  <si>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</si>
  <si>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</si>
  <si>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</si>
  <si>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</si>
  <si>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</si>
  <si>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</si>
  <si>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</si>
  <si>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</si>
  <si>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</si>
  <si>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</si>
  <si>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</si>
  <si>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</si>
  <si>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</si>
  <si>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</si>
  <si>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</si>
  <si>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</si>
  <si>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</si>
  <si>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</si>
  <si>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</si>
  <si>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</si>
  <si>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</si>
  <si>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</si>
  <si>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</si>
  <si>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</si>
  <si>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</si>
  <si>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</si>
  <si>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</si>
  <si>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</si>
  <si>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</si>
  <si>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</si>
  <si>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</si>
  <si>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</si>
  <si>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</si>
  <si>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</si>
  <si>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</si>
  <si>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</si>
  <si>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</si>
  <si>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</si>
  <si>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</si>
  <si>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</si>
  <si>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</si>
  <si>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</si>
  <si>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</si>
  <si>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</si>
  <si>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</si>
  <si>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</si>
  <si>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</si>
  <si>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</si>
  <si>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</si>
  <si>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</si>
  <si>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</si>
  <si>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</si>
  <si>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</si>
  <si>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</si>
  <si>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</si>
  <si>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</si>
  <si>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</si>
  <si>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</si>
  <si>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</si>
  <si>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</si>
  <si>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</si>
  <si>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</si>
  <si>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</si>
  <si>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</si>
  <si>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</si>
  <si>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</si>
  <si>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</si>
  <si>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</si>
  <si>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</si>
  <si>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</si>
  <si>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</si>
  <si>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</si>
  <si>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</si>
  <si>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</si>
  <si>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</si>
  <si>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</si>
  <si>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</si>
  <si>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</si>
  <si>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</si>
  <si>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</si>
  <si>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</si>
  <si>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</si>
  <si>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</si>
  <si>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</si>
  <si>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</si>
  <si>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</si>
  <si>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</si>
  <si>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</si>
  <si>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</si>
  <si>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</si>
  <si>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</si>
  <si>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</si>
  <si>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</si>
  <si>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</si>
  <si>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</si>
  <si>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</si>
  <si>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</si>
  <si>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</si>
  <si>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</si>
  <si>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</si>
  <si>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</si>
  <si>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</si>
  <si>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</si>
  <si>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</si>
  <si>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</si>
  <si>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</si>
  <si>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</si>
  <si>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</si>
  <si>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</si>
  <si>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</si>
  <si>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</si>
  <si>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</si>
  <si>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</si>
  <si>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</si>
  <si>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</si>
  <si>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</si>
  <si>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</si>
  <si>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</si>
  <si>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</si>
  <si>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</si>
  <si>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</si>
  <si>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</si>
  <si>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</si>
  <si>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</si>
  <si>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</si>
  <si>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</si>
  <si>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</si>
  <si>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</si>
  <si>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</si>
  <si>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</si>
  <si>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</si>
  <si>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</si>
  <si>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</si>
  <si>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</si>
  <si>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</si>
  <si>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</si>
  <si>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</si>
  <si>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</si>
  <si>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</si>
  <si>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</si>
  <si>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</si>
  <si>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</si>
  <si>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</si>
  <si>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</si>
  <si>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</si>
  <si>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</si>
  <si>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</si>
  <si>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</si>
  <si>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</si>
  <si>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</si>
  <si>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</si>
  <si>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</si>
  <si>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</si>
  <si>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</si>
  <si>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</si>
  <si>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</si>
  <si>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</si>
  <si>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</si>
  <si>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</si>
  <si>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</si>
  <si>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</si>
  <si>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</si>
  <si>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</si>
  <si>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</si>
  <si>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</si>
  <si>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</si>
  <si>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</si>
  <si>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</si>
  <si>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</si>
  <si>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</si>
  <si>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</si>
  <si>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</si>
  <si>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</si>
  <si>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</si>
  <si>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</si>
  <si>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</si>
  <si>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</si>
  <si>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</si>
  <si>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</si>
  <si>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</si>
  <si>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</si>
  <si>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</si>
  <si>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</si>
  <si>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</si>
  <si>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</si>
  <si>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</si>
  <si>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</si>
  <si>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</si>
  <si>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</si>
  <si>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</si>
  <si>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</si>
  <si>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</si>
  <si>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</si>
  <si>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</si>
  <si>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</si>
  <si>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</si>
  <si>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</si>
  <si>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</si>
  <si>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</si>
  <si>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</si>
  <si>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</si>
  <si>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</si>
  <si>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</si>
  <si>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</si>
  <si>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</si>
  <si>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</si>
  <si>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</si>
  <si>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</si>
  <si>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</si>
  <si>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</si>
  <si>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</si>
  <si>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</si>
  <si>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</si>
  <si>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</si>
  <si>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</si>
  <si>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</si>
  <si>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</si>
  <si>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</si>
  <si>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</si>
  <si>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</si>
  <si>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</si>
  <si>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</si>
  <si>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</si>
  <si>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</si>
  <si>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</si>
  <si>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</si>
  <si>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</si>
  <si>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</si>
  <si>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</si>
  <si>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</si>
  <si>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</si>
  <si>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</si>
  <si>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</si>
  <si>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</si>
  <si>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</si>
  <si>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</si>
  <si>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</si>
  <si>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</si>
  <si>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</si>
  <si>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</si>
  <si>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</si>
  <si>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</si>
  <si>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</si>
  <si>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</si>
  <si>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</si>
  <si>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</si>
  <si>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</si>
  <si>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</si>
  <si>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</si>
  <si>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</si>
  <si>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</si>
  <si>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</si>
  <si>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</si>
  <si>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</si>
  <si>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</si>
  <si>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</si>
  <si>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</si>
  <si>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</si>
  <si>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</si>
  <si>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</si>
  <si>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</si>
  <si>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</si>
  <si>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</si>
  <si>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</si>
  <si>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</si>
  <si>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</si>
  <si>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</si>
  <si>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</si>
  <si>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</si>
  <si>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</si>
  <si>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</si>
  <si>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</si>
  <si>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</si>
  <si>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</si>
  <si>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</si>
  <si>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</si>
  <si>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</si>
  <si>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</si>
  <si>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</si>
  <si>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</si>
  <si>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</si>
  <si>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</si>
  <si>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</si>
  <si>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</si>
  <si>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</si>
  <si>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</si>
  <si>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</si>
  <si>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</si>
  <si>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</si>
  <si>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</si>
  <si>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</si>
  <si>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</si>
  <si>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</si>
  <si>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</si>
  <si>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</si>
  <si>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</si>
  <si>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</si>
  <si>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</si>
  <si>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</si>
  <si>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</si>
  <si>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</si>
  <si>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</si>
  <si>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</si>
  <si>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</si>
  <si>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</si>
  <si>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</si>
  <si>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</si>
  <si>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</si>
  <si>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</si>
  <si>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</si>
  <si>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</si>
  <si>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</si>
  <si>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</si>
  <si>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</si>
  <si>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</si>
  <si>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</si>
  <si>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</si>
  <si>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</si>
  <si>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</si>
  <si>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</si>
  <si>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</si>
  <si>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</si>
  <si>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</si>
  <si>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</si>
  <si>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</si>
  <si>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</si>
  <si>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</si>
  <si>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</si>
  <si>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</si>
  <si>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</si>
  <si>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</si>
  <si>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</si>
  <si>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</si>
  <si>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</si>
  <si>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</si>
  <si>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</si>
  <si>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</si>
  <si>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</si>
  <si>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</si>
  <si>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</si>
  <si>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</si>
  <si>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</si>
  <si>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</si>
  <si>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</si>
  <si>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</si>
  <si>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</si>
  <si>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</si>
  <si>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</si>
  <si>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</si>
  <si>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</si>
  <si>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</si>
  <si>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</si>
  <si>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</si>
  <si>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</si>
  <si>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</si>
  <si>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</si>
  <si>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</si>
  <si>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</si>
  <si>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</si>
  <si>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</si>
  <si>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</si>
  <si>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</si>
  <si>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</si>
  <si>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</si>
  <si>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</si>
  <si>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</si>
  <si>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</si>
  <si>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</si>
  <si>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</si>
  <si>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</si>
  <si>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</si>
  <si>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</si>
  <si>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</si>
  <si>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</si>
  <si>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</si>
  <si>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</si>
  <si>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</si>
  <si>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</si>
  <si>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</si>
  <si>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</si>
  <si>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</si>
  <si>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</si>
  <si>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</si>
  <si>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</si>
  <si>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</si>
  <si>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</si>
  <si>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</si>
  <si>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</si>
  <si>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</si>
  <si>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</si>
  <si>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</si>
  <si>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</si>
  <si>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</si>
  <si>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</si>
  <si>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</si>
  <si>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</si>
  <si>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</si>
  <si>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</si>
  <si>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</si>
  <si>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</si>
  <si>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</si>
  <si>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</si>
  <si>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</si>
  <si>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</si>
  <si>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</si>
  <si>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</si>
  <si>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</si>
  <si>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</si>
  <si>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</si>
  <si>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</si>
  <si>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</si>
  <si>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</si>
  <si>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</si>
  <si>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</si>
  <si>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</si>
  <si>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</si>
  <si>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</si>
  <si>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</si>
  <si>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</si>
  <si>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</si>
  <si>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</si>
  <si>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</si>
  <si>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</si>
  <si>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</si>
  <si>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</si>
  <si>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</si>
  <si>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</si>
  <si>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</si>
  <si>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</si>
  <si>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</si>
  <si>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</si>
  <si>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</si>
  <si>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</si>
  <si>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</si>
  <si>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</si>
  <si>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</si>
  <si>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</si>
  <si>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</si>
  <si>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</si>
  <si>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</si>
  <si>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</si>
  <si>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</si>
  <si>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</si>
  <si>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</si>
  <si>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</si>
  <si>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</si>
  <si>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</si>
  <si>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</si>
  <si>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</si>
  <si>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</si>
  <si>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</si>
  <si>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</si>
  <si>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</si>
  <si>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</si>
  <si>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</si>
  <si>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</si>
  <si>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</si>
  <si>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</si>
  <si>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</si>
  <si>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</si>
  <si>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</si>
  <si>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</si>
  <si>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</si>
  <si>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</si>
  <si>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</si>
  <si>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</si>
  <si>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</si>
  <si>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</si>
  <si>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</si>
  <si>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</si>
  <si>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</si>
  <si>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</si>
  <si>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</si>
  <si>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</si>
  <si>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</si>
  <si>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</si>
  <si>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</si>
  <si>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</si>
  <si>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</si>
  <si>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</si>
  <si>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</si>
  <si>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</si>
  <si>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</si>
  <si>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</si>
  <si>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</si>
  <si>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</si>
  <si>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</si>
  <si>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</si>
  <si>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</si>
  <si>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</si>
  <si>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</si>
  <si>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</si>
  <si>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</si>
  <si>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</si>
  <si>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</si>
  <si>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</si>
  <si>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</si>
  <si>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</si>
  <si>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</si>
  <si>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</si>
  <si>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</si>
  <si>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</si>
  <si>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</si>
  <si>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</si>
  <si>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</si>
  <si>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</si>
  <si>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</si>
  <si>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</si>
  <si>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</si>
  <si>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</si>
  <si>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</si>
  <si>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</si>
  <si>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</si>
  <si>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</si>
  <si>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</si>
  <si>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</si>
  <si>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</si>
  <si>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</si>
  <si>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</si>
  <si>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</si>
  <si>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</si>
  <si>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</si>
  <si>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</si>
  <si>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</si>
  <si>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</si>
  <si>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</si>
  <si>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</si>
  <si>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</si>
  <si>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</si>
  <si>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</si>
  <si>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</si>
  <si>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</si>
  <si>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</si>
  <si>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</si>
  <si>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</si>
  <si>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</si>
  <si>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</si>
  <si>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</si>
  <si>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</si>
  <si>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</si>
  <si>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</si>
  <si>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</si>
  <si>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</si>
  <si>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</si>
  <si>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</si>
  <si>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</si>
  <si>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</si>
  <si>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</si>
  <si>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</si>
  <si>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</si>
  <si>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</si>
  <si>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</si>
  <si>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</si>
  <si>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</si>
  <si>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</si>
  <si>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</si>
  <si>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</si>
  <si>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</si>
  <si>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</si>
  <si>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</si>
  <si>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</si>
  <si>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</si>
  <si>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</si>
  <si>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</si>
  <si>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</si>
  <si>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</si>
  <si>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</si>
  <si>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</si>
  <si>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</si>
  <si>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</si>
  <si>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</si>
  <si>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</si>
  <si>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</si>
  <si>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</si>
  <si>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</si>
  <si>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</si>
  <si>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</si>
  <si>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</si>
  <si>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</si>
  <si>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</si>
  <si>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</si>
  <si>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</si>
  <si>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</si>
  <si>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</si>
  <si>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</si>
  <si>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</si>
  <si>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</si>
  <si>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</si>
  <si>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</si>
  <si>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</si>
  <si>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</si>
  <si>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</si>
  <si>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</si>
  <si>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</si>
  <si>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</si>
  <si>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</si>
  <si>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</si>
  <si>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</si>
  <si>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</si>
  <si>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</si>
  <si>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</si>
  <si>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</si>
  <si>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</si>
  <si>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</si>
  <si>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</si>
  <si>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</si>
  <si>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</si>
  <si>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</si>
  <si>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</si>
  <si>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</si>
  <si>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</si>
  <si>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</si>
  <si>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</si>
  <si>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</si>
  <si>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</si>
  <si>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</si>
  <si>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</si>
  <si>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</si>
  <si>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</si>
  <si>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</si>
  <si>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</si>
  <si>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</si>
  <si>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</si>
  <si>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</si>
  <si>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</si>
  <si>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</si>
  <si>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</si>
  <si>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</si>
  <si>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</si>
  <si>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</si>
  <si>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</si>
  <si>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</si>
  <si>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</si>
  <si>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</si>
  <si>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</si>
  <si>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</si>
  <si>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</si>
  <si>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</si>
  <si>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</si>
  <si>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</si>
  <si>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</si>
  <si>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</si>
  <si>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</si>
  <si>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</si>
  <si>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</si>
  <si>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</si>
  <si>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</si>
  <si>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</si>
  <si>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</si>
  <si>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</si>
  <si>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</si>
  <si>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</si>
  <si>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</si>
  <si>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</si>
  <si>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</si>
  <si>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</si>
  <si>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</si>
  <si>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</si>
  <si>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</si>
  <si>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</si>
  <si>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</si>
  <si>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</si>
  <si>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</si>
  <si>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</si>
  <si>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</si>
  <si>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</si>
  <si>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</si>
  <si>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</si>
  <si>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</si>
  <si>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</si>
  <si>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</si>
  <si>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</si>
  <si>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</si>
  <si>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</si>
  <si>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</si>
  <si>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</si>
  <si>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</si>
  <si>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</si>
  <si>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</si>
  <si>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</si>
  <si>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</si>
  <si>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</si>
  <si>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</si>
  <si>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</si>
  <si>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</si>
  <si>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</si>
  <si>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</si>
  <si>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</si>
  <si>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</si>
  <si>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</si>
  <si>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</si>
  <si>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</si>
  <si>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</si>
  <si>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</si>
  <si>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</si>
  <si>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</si>
  <si>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</si>
  <si>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</si>
  <si>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</si>
  <si>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</si>
  <si>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</si>
  <si>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</si>
  <si>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</si>
  <si>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</si>
  <si>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</si>
  <si>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</si>
  <si>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</si>
  <si>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</si>
  <si>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</si>
  <si>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</si>
  <si>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</si>
  <si>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</si>
  <si>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</si>
  <si>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</si>
  <si>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</si>
  <si>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</si>
  <si>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</si>
  <si>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</si>
  <si>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</si>
  <si>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</si>
  <si>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</si>
  <si>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</si>
  <si>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</si>
  <si>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</si>
  <si>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</si>
  <si>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</si>
  <si>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</si>
  <si>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</si>
  <si>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</si>
  <si>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</si>
  <si>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</si>
  <si>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</si>
  <si>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</si>
  <si>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</si>
  <si>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</si>
  <si>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</si>
  <si>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</si>
  <si>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</si>
  <si>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</si>
  <si>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</si>
  <si>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</si>
  <si>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</si>
  <si>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</si>
  <si>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</si>
  <si>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</si>
  <si>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</si>
  <si>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</si>
  <si>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</si>
  <si>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</si>
  <si>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</si>
  <si>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</si>
  <si>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</si>
  <si>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</si>
  <si>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</si>
  <si>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</si>
  <si>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</si>
  <si>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</si>
  <si>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</si>
  <si>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</si>
  <si>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</si>
  <si>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</si>
  <si>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</si>
  <si>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</si>
  <si>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</si>
  <si>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</si>
  <si>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</si>
  <si>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</si>
  <si>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</si>
  <si>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</si>
  <si>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</si>
  <si>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</si>
  <si>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</si>
  <si>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</si>
  <si>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</si>
  <si>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</si>
  <si>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</si>
  <si>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</si>
  <si>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</si>
  <si>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</si>
  <si>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</si>
  <si>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</si>
  <si>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</si>
  <si>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</si>
  <si>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</si>
  <si>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</si>
  <si>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</si>
  <si>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</si>
  <si>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</si>
  <si>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</si>
  <si>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</si>
  <si>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</si>
  <si>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</si>
  <si>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</si>
  <si>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</si>
  <si>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</si>
  <si>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</si>
  <si>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</si>
  <si>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</si>
  <si>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</si>
  <si>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</si>
  <si>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</si>
  <si>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</si>
  <si>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</si>
  <si>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</si>
  <si>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</si>
  <si>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</si>
  <si>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</si>
  <si>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</si>
  <si>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</si>
  <si>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</si>
  <si>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</si>
  <si>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</si>
  <si>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</si>
  <si>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</si>
  <si>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</si>
  <si>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</si>
  <si>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</si>
  <si>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</si>
  <si>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</si>
  <si>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</si>
  <si>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</si>
  <si>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</si>
  <si>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</si>
  <si>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</si>
  <si>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</si>
  <si>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</si>
  <si>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</si>
  <si>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</si>
  <si>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</si>
  <si>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</si>
  <si>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</si>
  <si>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</si>
  <si>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</si>
  <si>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</si>
  <si>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</si>
  <si>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</si>
  <si>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</si>
  <si>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</si>
  <si>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</si>
  <si>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</si>
  <si>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</si>
  <si>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</si>
  <si>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</si>
  <si>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</si>
  <si>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</si>
  <si>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</si>
  <si>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</si>
  <si>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</si>
  <si>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</si>
  <si>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</si>
  <si>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</si>
  <si>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</si>
  <si>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</si>
  <si>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</si>
  <si>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</si>
  <si>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</si>
  <si>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</si>
  <si>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</si>
  <si>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</si>
  <si>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</si>
  <si>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</si>
  <si>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</si>
  <si>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</si>
  <si>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</si>
  <si>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</si>
  <si>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</si>
  <si>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</si>
  <si>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</si>
  <si>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</si>
  <si>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</si>
  <si>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</si>
  <si>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</si>
  <si>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</si>
  <si>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</si>
  <si>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</si>
  <si>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</si>
  <si>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</si>
  <si>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</si>
  <si>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</si>
  <si>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</si>
  <si>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</si>
  <si>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</si>
  <si>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</si>
  <si>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</si>
  <si>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</si>
  <si>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</si>
  <si>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</si>
  <si>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</si>
  <si>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</si>
  <si>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</si>
  <si>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</si>
  <si>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</si>
  <si>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</si>
  <si>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</si>
  <si>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</si>
  <si>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</si>
  <si>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</si>
  <si>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</si>
  <si>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</si>
  <si>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</si>
  <si>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</si>
  <si>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</si>
  <si>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</si>
  <si>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</si>
  <si>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</si>
  <si>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</si>
  <si>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</si>
  <si>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</si>
  <si>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</si>
  <si>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</si>
  <si>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</si>
  <si>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</si>
  <si>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</si>
  <si>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</si>
  <si>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</si>
  <si>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</si>
  <si>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</si>
  <si>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</si>
  <si>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</si>
  <si>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</si>
  <si>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</si>
  <si>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</si>
  <si>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</si>
  <si>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</si>
  <si>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</si>
  <si>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</si>
  <si>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</si>
  <si>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</si>
  <si>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</si>
  <si>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</si>
  <si>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</si>
  <si>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</si>
  <si>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</si>
  <si>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</si>
  <si>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</si>
  <si>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</si>
  <si>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</si>
  <si>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</si>
  <si>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</si>
  <si>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</si>
  <si>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</si>
  <si>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</si>
  <si>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</si>
  <si>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</si>
  <si>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</si>
  <si>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</si>
  <si>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</si>
  <si>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</si>
  <si>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</si>
  <si>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</si>
  <si>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</si>
  <si>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</si>
  <si>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</si>
  <si>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</si>
  <si>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</si>
  <si>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</si>
  <si>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</si>
  <si>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</si>
  <si>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</si>
  <si>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</si>
  <si>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</si>
  <si>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</si>
  <si>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</si>
  <si>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</si>
  <si>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</si>
  <si>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</si>
  <si>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</si>
  <si>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</si>
  <si>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</si>
  <si>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</si>
  <si>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</si>
  <si>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</si>
  <si>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</si>
  <si>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</si>
  <si>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</si>
  <si>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</si>
  <si>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</si>
  <si>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</si>
  <si>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</si>
  <si>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</si>
  <si>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</si>
  <si>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</si>
  <si>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</si>
  <si>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</si>
  <si>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</si>
  <si>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</si>
  <si>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</si>
  <si>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</si>
  <si>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</si>
  <si>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</si>
  <si>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</si>
  <si>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</si>
  <si>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</si>
  <si>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</si>
  <si>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</si>
  <si>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</si>
  <si>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</si>
  <si>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</si>
  <si>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</si>
  <si>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</si>
  <si>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</si>
  <si>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</si>
  <si>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</si>
  <si>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</si>
  <si>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</si>
  <si>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</si>
  <si>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</si>
  <si>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</si>
  <si>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</si>
  <si>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</si>
  <si>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</si>
  <si>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</si>
  <si>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</si>
  <si>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</si>
  <si>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</si>
  <si>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</si>
  <si>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</si>
  <si>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</si>
  <si>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</si>
  <si>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</si>
  <si>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</si>
  <si>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</si>
  <si>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</si>
  <si>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</si>
  <si>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</si>
  <si>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</si>
  <si>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</si>
  <si>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</si>
  <si>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</si>
  <si>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</si>
  <si>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</si>
  <si>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</si>
  <si>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</si>
  <si>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</si>
  <si>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</si>
  <si>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</si>
  <si>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</si>
  <si>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</si>
  <si>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</si>
  <si>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</si>
  <si>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</si>
  <si>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</si>
  <si>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</si>
  <si>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</si>
  <si>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</si>
  <si>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</si>
  <si>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</si>
  <si>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</si>
  <si>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</si>
  <si>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</si>
  <si>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</si>
  <si>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</si>
  <si>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</si>
  <si>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</si>
  <si>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</si>
  <si>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</si>
  <si>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</si>
  <si>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</si>
  <si>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</si>
  <si>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</si>
  <si>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</si>
  <si>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</si>
  <si>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</si>
  <si>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</si>
  <si>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</si>
  <si>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</si>
  <si>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</si>
  <si>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</si>
  <si>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</si>
  <si>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</si>
  <si>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</si>
  <si>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</si>
  <si>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</si>
  <si>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</si>
  <si>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</si>
  <si>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</si>
  <si>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</si>
  <si>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</si>
  <si>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</si>
  <si>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</si>
  <si>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</si>
  <si>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</si>
  <si>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</si>
  <si>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</si>
  <si>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</si>
  <si>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</si>
  <si>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</si>
  <si>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</si>
  <si>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</si>
  <si>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</si>
  <si>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</si>
  <si>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</si>
  <si>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</si>
  <si>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</si>
  <si>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</si>
  <si>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</si>
  <si>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</si>
  <si>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</si>
  <si>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</si>
  <si>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</si>
  <si>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</si>
  <si>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</si>
  <si>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</si>
  <si>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</si>
  <si>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</si>
  <si>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</si>
  <si>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</si>
  <si>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</si>
  <si>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</si>
  <si>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</si>
  <si>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</si>
  <si>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</si>
  <si>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</si>
  <si>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</si>
  <si>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</si>
  <si>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</si>
  <si>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</si>
  <si>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</si>
  <si>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</si>
  <si>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</si>
  <si>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</si>
  <si>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</si>
  <si>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</si>
  <si>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</si>
  <si>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</si>
  <si>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</si>
  <si>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</si>
  <si>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</si>
  <si>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</si>
  <si>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</si>
  <si>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</si>
  <si>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</si>
  <si>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</si>
  <si>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</si>
  <si>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</si>
  <si>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</si>
  <si>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</si>
  <si>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</si>
  <si>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</si>
  <si>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</si>
  <si>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</si>
  <si>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</si>
  <si>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</si>
  <si>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</si>
  <si>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</si>
  <si>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</si>
  <si>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</si>
  <si>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</si>
  <si>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</si>
  <si>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</si>
  <si>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</si>
  <si>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</si>
  <si>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</si>
  <si>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</si>
  <si>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</si>
  <si>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</si>
  <si>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</si>
  <si>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</si>
  <si>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</si>
  <si>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</si>
  <si>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</si>
  <si>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</si>
  <si>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</si>
  <si>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</si>
  <si>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</si>
  <si>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</si>
  <si>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</si>
  <si>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</si>
  <si>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</si>
  <si>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</si>
  <si>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</si>
  <si>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</si>
  <si>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</si>
  <si>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</si>
  <si>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</si>
  <si>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</si>
  <si>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</si>
  <si>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</si>
  <si>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</si>
  <si>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</si>
  <si>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</si>
  <si>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</si>
  <si>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</si>
  <si>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</si>
  <si>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</si>
  <si>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</si>
  <si>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</si>
  <si>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</si>
  <si>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</si>
  <si>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</si>
  <si>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</si>
  <si>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</si>
  <si>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</si>
  <si>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</si>
  <si>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</si>
  <si>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</si>
  <si>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</si>
  <si>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</si>
  <si>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</si>
  <si>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</si>
  <si>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</si>
  <si>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</si>
  <si>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</si>
  <si>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</si>
  <si>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</si>
  <si>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</si>
  <si>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</si>
  <si>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</si>
  <si>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</si>
  <si>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</si>
  <si>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</si>
  <si>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</si>
  <si>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</si>
  <si>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</si>
  <si>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</si>
  <si>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</si>
  <si>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</si>
  <si>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</si>
  <si>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</si>
  <si>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</si>
  <si>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</si>
  <si>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</si>
  <si>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</si>
  <si>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</si>
  <si>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</si>
  <si>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</si>
  <si>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</si>
  <si>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</si>
  <si>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</si>
  <si>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</si>
  <si>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</si>
  <si>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</si>
  <si>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</si>
  <si>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</si>
  <si>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</si>
  <si>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</si>
  <si>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</si>
  <si>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</si>
  <si>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</si>
  <si>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</si>
  <si>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</si>
  <si>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</si>
  <si>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</si>
  <si>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</si>
  <si>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</si>
  <si>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</si>
  <si>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</si>
  <si>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</si>
  <si>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</si>
  <si>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</si>
  <si>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</si>
  <si>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</si>
  <si>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</si>
  <si>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</si>
  <si>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</si>
  <si>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</si>
  <si>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</si>
  <si>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</si>
  <si>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</si>
  <si>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</si>
  <si>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</si>
  <si>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</si>
  <si>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</si>
  <si>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</si>
  <si>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</si>
  <si>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</si>
  <si>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</si>
  <si>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</si>
  <si>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</si>
  <si>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</si>
  <si>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</si>
  <si>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</si>
  <si>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</si>
  <si>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</si>
  <si>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</si>
  <si>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</si>
  <si>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</si>
  <si>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</si>
  <si>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</si>
  <si>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</si>
  <si>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</si>
  <si>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</si>
  <si>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</si>
  <si>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</si>
  <si>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</si>
  <si>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</si>
  <si>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</si>
  <si>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</si>
  <si>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</si>
  <si>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</si>
  <si>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</si>
  <si>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</si>
  <si>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</si>
  <si>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</si>
  <si>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</si>
  <si>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</si>
  <si>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</si>
  <si>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</si>
  <si>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</si>
  <si>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</si>
  <si>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</si>
  <si>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</si>
  <si>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</si>
  <si>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</si>
  <si>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</si>
  <si>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</si>
  <si>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</si>
  <si>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</si>
  <si>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</si>
  <si>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</si>
  <si>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</si>
  <si>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</si>
  <si>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</si>
  <si>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</si>
  <si>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</si>
  <si>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</si>
  <si>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</si>
  <si>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</si>
  <si>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</si>
  <si>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</si>
  <si>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</si>
  <si>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</si>
  <si>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</si>
  <si>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</si>
  <si>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</si>
  <si>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</si>
  <si>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</si>
  <si>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</si>
  <si>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</si>
  <si>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</si>
  <si>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</si>
  <si>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</si>
  <si>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</si>
  <si>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</si>
  <si>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</si>
  <si>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</si>
  <si>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</si>
  <si>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</si>
  <si>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</si>
  <si>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</si>
  <si>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</si>
  <si>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</si>
  <si>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</si>
  <si>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</si>
  <si>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</si>
  <si>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</si>
  <si>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</si>
  <si>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</si>
  <si>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</si>
  <si>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</si>
  <si>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</si>
  <si>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</si>
  <si>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</si>
  <si>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</si>
  <si>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</si>
  <si>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</si>
  <si>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</si>
  <si>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</si>
  <si>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</si>
  <si>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</si>
  <si>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</si>
  <si>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</si>
  <si>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</si>
  <si>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</si>
  <si>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</si>
  <si>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</si>
  <si>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</si>
  <si>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</si>
  <si>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</si>
  <si>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</si>
  <si>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</si>
  <si>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</si>
  <si>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</si>
  <si>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</si>
  <si>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</si>
  <si>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</si>
  <si>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</si>
  <si>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</si>
  <si>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</si>
  <si>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</si>
  <si>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</si>
  <si>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</si>
  <si>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</si>
  <si>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</si>
  <si>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</si>
  <si>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</si>
  <si>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</si>
  <si>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</si>
  <si>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</si>
  <si>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</si>
  <si>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</si>
  <si>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</si>
  <si>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</si>
  <si>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</si>
  <si>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</si>
  <si>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</si>
  <si>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</si>
  <si>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</si>
  <si>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</si>
  <si>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</si>
  <si>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</si>
  <si>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</si>
  <si>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</si>
  <si>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</si>
  <si>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</si>
  <si>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</si>
  <si>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</si>
  <si>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</si>
  <si>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</si>
  <si>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</si>
  <si>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</si>
  <si>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</si>
  <si>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</si>
  <si>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</si>
  <si>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</si>
  <si>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</si>
  <si>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</si>
  <si>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</si>
  <si>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</si>
  <si>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</si>
  <si>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</si>
  <si>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</si>
  <si>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</si>
  <si>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</si>
  <si>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</si>
  <si>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</si>
  <si>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</si>
  <si>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</si>
  <si>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</si>
  <si>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</si>
  <si>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</si>
  <si>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</si>
  <si>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</si>
  <si>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</si>
  <si>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</si>
  <si>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</si>
  <si>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</si>
  <si>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</si>
  <si>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</si>
  <si>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</si>
  <si>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</si>
  <si>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</si>
  <si>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</si>
  <si>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</si>
  <si>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</si>
  <si>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</si>
  <si>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</si>
  <si>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</si>
  <si>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</si>
  <si>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</si>
  <si>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</si>
  <si>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</si>
  <si>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</si>
  <si>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</si>
  <si>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</si>
  <si>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</si>
  <si>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</si>
  <si>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</si>
  <si>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</si>
  <si>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</si>
  <si>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</si>
  <si>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</si>
  <si>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</si>
  <si>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</si>
  <si>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</si>
  <si>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</si>
  <si>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</si>
  <si>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</si>
  <si>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</si>
  <si>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</si>
  <si>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</si>
  <si>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</si>
  <si>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</si>
  <si>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</si>
  <si>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</si>
  <si>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</si>
  <si>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</si>
  <si>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</si>
  <si>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</si>
  <si>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</si>
  <si>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</si>
  <si>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</si>
  <si>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</si>
  <si>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</si>
  <si>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</si>
  <si>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</si>
  <si>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</si>
  <si>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</si>
  <si>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</si>
  <si>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</si>
  <si>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</si>
  <si>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</si>
  <si>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</si>
  <si>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</si>
  <si>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</si>
  <si>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</si>
  <si>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</si>
  <si>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</si>
  <si>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</si>
  <si>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</si>
  <si>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</si>
  <si>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</si>
  <si>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</si>
  <si>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</si>
  <si>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</si>
  <si>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</si>
  <si>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</si>
  <si>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</si>
  <si>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</si>
  <si>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</si>
  <si>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</si>
  <si>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</si>
  <si>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</si>
  <si>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</si>
  <si>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</si>
  <si>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</si>
  <si>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</si>
  <si>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</si>
  <si>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</si>
  <si>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</si>
  <si>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</si>
  <si>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</si>
  <si>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</si>
  <si>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</si>
  <si>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</si>
  <si>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</si>
  <si>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</si>
  <si>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</si>
  <si>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</si>
  <si>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</si>
  <si>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</si>
  <si>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</si>
  <si>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</si>
  <si>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</si>
  <si>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</si>
  <si>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</si>
  <si>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</si>
  <si>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</si>
  <si>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</si>
  <si>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</si>
  <si>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</si>
  <si>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</si>
  <si>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</si>
  <si>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</si>
  <si>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</si>
  <si>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</si>
  <si>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</si>
  <si>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</si>
  <si>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</si>
  <si>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</si>
  <si>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</si>
  <si>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</si>
  <si>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</si>
  <si>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</si>
  <si>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</si>
  <si>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</si>
  <si>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</si>
  <si>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</si>
  <si>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</si>
  <si>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</si>
  <si>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</si>
  <si>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</si>
  <si>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</si>
  <si>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</si>
  <si>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</si>
  <si>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</si>
  <si>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</si>
  <si>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</si>
  <si>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</si>
  <si>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</si>
  <si>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</si>
  <si>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</si>
  <si>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</si>
  <si>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</si>
  <si>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</si>
  <si>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</si>
  <si>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</si>
  <si>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</si>
  <si>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</si>
  <si>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</si>
  <si>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</si>
  <si>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</si>
  <si>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</si>
  <si>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</si>
  <si>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</si>
  <si>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</si>
  <si>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</si>
  <si>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</si>
  <si>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</si>
  <si>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</si>
  <si>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</si>
  <si>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</si>
  <si>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</si>
  <si>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</si>
  <si>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</si>
  <si>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</si>
  <si>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</si>
  <si>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</si>
  <si>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</si>
  <si>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</si>
  <si>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</si>
  <si>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</si>
  <si>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</si>
  <si>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</si>
  <si>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</si>
  <si>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</si>
  <si>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</si>
  <si>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</si>
  <si>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</si>
  <si>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</si>
  <si>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</si>
  <si>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</si>
  <si>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</si>
  <si>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</si>
  <si>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</si>
  <si>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</si>
  <si>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</si>
  <si>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</si>
  <si>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</si>
  <si>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</si>
  <si>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</si>
  <si>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</si>
  <si>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</si>
  <si>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</si>
  <si>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</si>
  <si>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</si>
  <si>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</si>
  <si>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</si>
  <si>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</si>
  <si>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</si>
  <si>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</si>
  <si>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</si>
  <si>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</si>
  <si>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</si>
  <si>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</si>
  <si>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</si>
  <si>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</si>
  <si>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</si>
  <si>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</si>
  <si>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</si>
  <si>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</si>
  <si>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</si>
  <si>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</si>
  <si>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</si>
  <si>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</si>
  <si>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</si>
  <si>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</si>
  <si>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</si>
  <si>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</si>
  <si>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</si>
  <si>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</si>
  <si>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</si>
  <si>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</si>
  <si>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</si>
  <si>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</si>
  <si>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</si>
  <si>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</si>
  <si>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</si>
  <si>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</si>
  <si>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</si>
  <si>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</si>
  <si>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</si>
  <si>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</si>
  <si>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</si>
  <si>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</si>
  <si>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</si>
  <si>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</si>
  <si>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</si>
  <si>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</si>
  <si>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</si>
  <si>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</si>
  <si>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</si>
  <si>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</si>
  <si>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</si>
  <si>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</si>
  <si>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</si>
  <si>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</si>
  <si>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</si>
  <si>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</si>
  <si>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</si>
  <si>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</si>
  <si>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</si>
  <si>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</si>
  <si>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</si>
  <si>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</si>
  <si>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</si>
  <si>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</si>
  <si>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</si>
  <si>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</si>
  <si>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</si>
  <si>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</si>
  <si>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</si>
  <si>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</si>
  <si>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</si>
  <si>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</si>
  <si>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</si>
  <si>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</si>
  <si>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</si>
  <si>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</si>
  <si>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</si>
  <si>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</si>
  <si>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</si>
  <si>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</si>
  <si>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</si>
  <si>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</si>
  <si>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</si>
  <si>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</si>
  <si>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</si>
  <si>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</si>
  <si>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</si>
  <si>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</si>
  <si>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</si>
  <si>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</si>
  <si>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</si>
  <si>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</si>
  <si>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</si>
  <si>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</si>
  <si>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</si>
  <si>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</si>
  <si>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</si>
  <si>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</si>
  <si>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</si>
  <si>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</si>
  <si>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</si>
  <si>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</si>
  <si>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</si>
  <si>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</si>
  <si>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</si>
  <si>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</si>
  <si>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</si>
  <si>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</si>
  <si>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</si>
  <si>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</si>
  <si>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</si>
  <si>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</si>
  <si>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</si>
  <si>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</si>
  <si>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</si>
  <si>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</si>
  <si>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</si>
  <si>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</si>
  <si>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</si>
  <si>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</si>
  <si>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</si>
  <si>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</si>
  <si>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</si>
  <si>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</si>
  <si>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</si>
  <si>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</si>
  <si>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</si>
  <si>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</si>
  <si>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</si>
  <si>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</si>
  <si>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</si>
  <si>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</si>
  <si>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</si>
  <si>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</si>
  <si>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</si>
  <si>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</si>
  <si>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</si>
  <si>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</si>
  <si>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</si>
  <si>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</si>
  <si>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</si>
  <si>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</si>
  <si>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</si>
  <si>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</si>
  <si>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</si>
  <si>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</si>
  <si>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</si>
  <si>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</si>
  <si>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</si>
  <si>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</si>
  <si>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</si>
  <si>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</si>
  <si>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</si>
  <si>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</si>
  <si>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</si>
  <si>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</si>
  <si>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</si>
  <si>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</si>
  <si>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</si>
  <si>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</si>
  <si>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</si>
  <si>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</si>
  <si>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</si>
  <si>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</si>
  <si>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</si>
  <si>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</si>
  <si>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</si>
  <si>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</si>
  <si>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</si>
  <si>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</si>
  <si>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</si>
  <si>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</si>
  <si>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</si>
  <si>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</si>
  <si>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</si>
  <si>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</si>
  <si>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</si>
  <si>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</si>
  <si>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</si>
  <si>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</si>
  <si>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</si>
  <si>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</si>
  <si>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</si>
  <si>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</si>
  <si>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</si>
  <si>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</si>
  <si>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</si>
  <si>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</si>
  <si>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</si>
  <si>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</si>
  <si>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</si>
  <si>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</si>
  <si>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</si>
  <si>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</si>
  <si>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</si>
  <si>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</si>
  <si>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</si>
  <si>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</si>
  <si>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</si>
  <si>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</si>
  <si>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</si>
  <si>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</si>
  <si>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</si>
  <si>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</si>
  <si>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</si>
  <si>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</si>
  <si>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</si>
  <si>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</si>
  <si>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</si>
  <si>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</si>
  <si>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</si>
  <si>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</si>
  <si>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</si>
  <si>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</si>
  <si>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</si>
  <si>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</si>
  <si>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</si>
  <si>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</si>
  <si>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</si>
  <si>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</si>
  <si>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</si>
  <si>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</si>
  <si>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</si>
  <si>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</si>
  <si>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</si>
  <si>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</si>
  <si>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</si>
  <si>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</si>
  <si>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</si>
  <si>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</si>
  <si>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</si>
  <si>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</si>
  <si>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</si>
  <si>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</si>
  <si>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</si>
  <si>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</si>
  <si>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</si>
  <si>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</si>
  <si>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</si>
  <si>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</si>
  <si>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</si>
  <si>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</si>
  <si>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</si>
  <si>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</si>
  <si>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</si>
  <si>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</si>
  <si>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</si>
  <si>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</si>
  <si>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</si>
  <si>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</si>
  <si>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</si>
  <si>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</si>
  <si>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</si>
  <si>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</si>
  <si>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</si>
  <si>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</si>
  <si>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</si>
  <si>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</si>
  <si>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</si>
  <si>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</si>
  <si>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</si>
  <si>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</si>
  <si>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</si>
  <si>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</si>
  <si>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</si>
  <si>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</si>
  <si>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</si>
  <si>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</si>
  <si>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</si>
  <si>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</si>
  <si>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</si>
  <si>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</si>
  <si>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</si>
  <si>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</si>
  <si>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</si>
  <si>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</si>
  <si>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</si>
  <si>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</si>
  <si>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</si>
  <si>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</si>
  <si>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</si>
  <si>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</si>
  <si>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</si>
  <si>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</si>
  <si>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</si>
  <si>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</si>
  <si>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</si>
  <si>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</si>
  <si>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</si>
  <si>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</si>
  <si>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</si>
  <si>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</si>
  <si>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</si>
  <si>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</si>
  <si>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</si>
  <si>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</si>
  <si>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</si>
  <si>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</si>
  <si>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</si>
  <si>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</si>
  <si>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</si>
  <si>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</si>
  <si>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</si>
  <si>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</si>
  <si>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</si>
  <si>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</si>
  <si>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</si>
  <si>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</si>
  <si>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</si>
  <si>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</si>
  <si>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</si>
  <si>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</si>
  <si>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</si>
  <si>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</si>
  <si>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</si>
  <si>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</si>
  <si>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</si>
  <si>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</si>
  <si>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</si>
  <si>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</si>
  <si>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</si>
  <si>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</si>
  <si>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</si>
  <si>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</si>
  <si>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</si>
  <si>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</si>
  <si>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</si>
  <si>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</si>
  <si>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</si>
  <si>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</si>
  <si>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</si>
  <si>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</si>
  <si>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</si>
  <si>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</si>
  <si>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</si>
  <si>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</si>
  <si>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</si>
  <si>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</si>
  <si>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</si>
  <si>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</si>
  <si>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</si>
  <si>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</si>
  <si>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</si>
  <si>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</si>
  <si>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</si>
  <si>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</si>
  <si>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</si>
  <si>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</si>
  <si>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</si>
  <si>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</si>
  <si>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</si>
  <si>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</si>
  <si>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</si>
  <si>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</si>
  <si>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</si>
  <si>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</si>
  <si>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</si>
  <si>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</si>
  <si>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</si>
  <si>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</si>
  <si>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</si>
  <si>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</si>
  <si>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</si>
  <si>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</si>
  <si>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</si>
  <si>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</si>
  <si>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</si>
  <si>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</si>
  <si>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</si>
  <si>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</si>
  <si>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</si>
  <si>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</si>
  <si>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</si>
  <si>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</si>
  <si>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</si>
  <si>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</si>
  <si>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</si>
  <si>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</si>
  <si>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</si>
  <si>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</si>
  <si>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</si>
  <si>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</si>
  <si>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</si>
  <si>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</si>
  <si>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</si>
  <si>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</si>
  <si>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</si>
  <si>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</si>
  <si>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</si>
  <si>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</si>
  <si>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</si>
  <si>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</si>
  <si>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</si>
  <si>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</si>
  <si>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</si>
  <si>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</si>
  <si>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</si>
  <si>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</si>
  <si>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</si>
  <si>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</si>
  <si>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</si>
  <si>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</si>
  <si>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</si>
  <si>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</si>
  <si>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</si>
  <si>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</si>
  <si>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</si>
  <si>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</si>
  <si>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</si>
  <si>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</si>
  <si>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</si>
  <si>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</si>
  <si>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</si>
  <si>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</si>
  <si>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</si>
  <si>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</si>
  <si>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</si>
  <si>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</si>
  <si>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</si>
  <si>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</si>
  <si>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</si>
  <si>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</si>
  <si>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</si>
  <si>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</si>
  <si>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</si>
  <si>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</si>
  <si>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</si>
  <si>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</si>
  <si>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</si>
  <si>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</si>
  <si>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</si>
  <si>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</si>
  <si>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</si>
  <si>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</si>
  <si>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</si>
  <si>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</si>
  <si>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</si>
  <si>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</si>
  <si>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</si>
  <si>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</si>
  <si>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</si>
  <si>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</si>
  <si>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</si>
  <si>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</si>
  <si>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</si>
  <si>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</si>
  <si>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</si>
  <si>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</si>
  <si>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</si>
  <si>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</si>
  <si>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</si>
  <si>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</si>
  <si>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</si>
  <si>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</si>
  <si>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</si>
  <si>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</si>
  <si>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</si>
  <si>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</si>
  <si>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</si>
  <si>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</si>
  <si>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</si>
  <si>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</si>
  <si>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</si>
  <si>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</si>
  <si>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</si>
  <si>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</si>
  <si>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</si>
  <si>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</si>
  <si>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</si>
  <si>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</si>
  <si>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</si>
  <si>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</si>
  <si>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</si>
  <si>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</si>
  <si>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</si>
  <si>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</si>
  <si>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</si>
  <si>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</si>
  <si>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</si>
  <si>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</si>
  <si>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</si>
  <si>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</si>
  <si>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</si>
  <si>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</si>
  <si>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</si>
  <si>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</si>
  <si>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</si>
  <si>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</si>
  <si>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</si>
  <si>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</si>
  <si>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</si>
  <si>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</si>
  <si>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</si>
  <si>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</si>
  <si>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</si>
  <si>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</si>
  <si>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</si>
  <si>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</si>
  <si>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</si>
  <si>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</si>
  <si>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</si>
  <si>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</si>
  <si>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</si>
  <si>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</si>
  <si>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</si>
  <si>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</si>
  <si>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</si>
  <si>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</si>
  <si>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</si>
  <si>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</si>
  <si>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</si>
  <si>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</si>
  <si>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</si>
  <si>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</si>
  <si>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</si>
  <si>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</si>
  <si>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</si>
  <si>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</si>
  <si>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</si>
  <si>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</si>
  <si>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</si>
  <si>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</si>
  <si>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</si>
  <si>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</si>
  <si>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</si>
  <si>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</si>
  <si>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</si>
  <si>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</si>
  <si>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</si>
  <si>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</si>
  <si>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</si>
  <si>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</si>
  <si>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</si>
  <si>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</si>
  <si>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</si>
  <si>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</si>
  <si>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</si>
  <si>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</si>
  <si>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</si>
  <si>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</si>
  <si>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</si>
  <si>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</si>
  <si>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</si>
  <si>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</si>
  <si>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</si>
  <si>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</si>
  <si>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</si>
  <si>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</si>
  <si>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</si>
  <si>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</si>
  <si>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</si>
  <si>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</si>
  <si>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</si>
  <si>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</si>
  <si>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</si>
  <si>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</si>
  <si>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</si>
  <si>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</si>
  <si>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</si>
  <si>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</si>
  <si>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</si>
  <si>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</si>
  <si>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</si>
  <si>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</si>
  <si>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</si>
  <si>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</si>
  <si>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</si>
  <si>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</si>
  <si>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</si>
  <si>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</si>
  <si>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</si>
  <si>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</si>
  <si>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</si>
  <si>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</si>
  <si>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</si>
  <si>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</si>
  <si>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</si>
  <si>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</si>
  <si>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</si>
  <si>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</si>
  <si>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</si>
  <si>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</si>
  <si>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</si>
  <si>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</si>
  <si>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</si>
  <si>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</si>
  <si>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</si>
  <si>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</si>
  <si>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</si>
  <si>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</si>
  <si>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</si>
  <si>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</si>
  <si>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</si>
  <si>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</si>
  <si>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</si>
  <si>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</si>
  <si>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</si>
  <si>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</si>
  <si>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</si>
  <si>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</si>
  <si>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</si>
  <si>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</si>
  <si>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</si>
  <si>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</si>
  <si>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</si>
  <si>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</si>
  <si>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</si>
  <si>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</si>
  <si>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</si>
  <si>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</si>
  <si>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</si>
  <si>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</si>
  <si>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</si>
  <si>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</si>
  <si>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</si>
  <si>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</si>
  <si>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</si>
  <si>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</si>
  <si>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</si>
  <si>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</si>
  <si>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</si>
  <si>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</si>
  <si>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</si>
  <si>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</si>
  <si>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</si>
  <si>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</si>
  <si>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</si>
  <si>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</si>
  <si>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</si>
  <si>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</si>
  <si>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</si>
  <si>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</si>
  <si>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</si>
  <si>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</si>
  <si>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</si>
  <si>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</si>
  <si>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</si>
  <si>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</si>
  <si>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</si>
  <si>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</si>
  <si>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</si>
  <si>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</si>
  <si>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</si>
  <si>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</si>
  <si>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</si>
  <si>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</si>
  <si>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</si>
  <si>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</si>
  <si>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</si>
  <si>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</si>
  <si>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</si>
  <si>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</si>
  <si>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</si>
  <si>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</si>
  <si>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</si>
  <si>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</si>
  <si>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</si>
  <si>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</si>
  <si>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</si>
  <si>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</si>
  <si>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</si>
  <si>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</si>
  <si>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</si>
  <si>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</si>
  <si>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</si>
  <si>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</si>
  <si>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</si>
  <si>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</si>
  <si>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</si>
  <si>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</si>
  <si>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</si>
  <si>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</si>
  <si>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</si>
  <si>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</si>
  <si>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</si>
  <si>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</si>
  <si>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</si>
  <si>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</si>
  <si>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</si>
  <si>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</si>
  <si>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</si>
  <si>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</si>
  <si>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</si>
  <si>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</si>
  <si>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</si>
  <si>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</si>
  <si>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</si>
  <si>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</si>
  <si>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</si>
  <si>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</si>
  <si>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</si>
  <si>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</si>
  <si>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</si>
  <si>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</si>
  <si>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</si>
  <si>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</si>
  <si>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</si>
  <si>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</si>
  <si>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</si>
  <si>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</si>
  <si>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</si>
  <si>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</si>
  <si>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</si>
  <si>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</si>
  <si>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</si>
  <si>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</si>
  <si>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</si>
  <si>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</si>
  <si>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</si>
  <si>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</si>
  <si>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</si>
  <si>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</si>
  <si>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</si>
  <si>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</si>
  <si>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</si>
  <si>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</si>
  <si>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</si>
  <si>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</si>
  <si>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</si>
  <si>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</si>
  <si>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</si>
  <si>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</si>
  <si>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</si>
  <si>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</si>
  <si>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</si>
  <si>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</si>
  <si>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</si>
  <si>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</si>
  <si>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</si>
  <si>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</si>
  <si>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</si>
  <si>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</si>
  <si>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</si>
  <si>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</si>
  <si>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</si>
  <si>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</si>
  <si>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</si>
  <si>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</si>
  <si>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</si>
  <si>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</si>
  <si>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</si>
  <si>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</si>
  <si>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</si>
  <si>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</si>
  <si>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</si>
  <si>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</si>
  <si>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</si>
  <si>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</si>
  <si>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</si>
  <si>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</si>
  <si>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</si>
  <si>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</si>
  <si>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</si>
  <si>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</si>
  <si>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</si>
  <si>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</si>
  <si>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</si>
  <si>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</si>
  <si>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</si>
  <si>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</si>
  <si>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</si>
  <si>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</si>
  <si>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</si>
  <si>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</si>
  <si>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</si>
  <si>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</si>
  <si>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</si>
  <si>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</si>
  <si>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</si>
  <si>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</si>
  <si>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</si>
  <si>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</si>
  <si>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</si>
  <si>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</si>
  <si>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</si>
  <si>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</si>
  <si>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</si>
  <si>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</si>
  <si>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</si>
  <si>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</si>
  <si>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</si>
  <si>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</si>
  <si>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</si>
  <si>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</si>
  <si>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</si>
  <si>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</si>
  <si>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</si>
  <si>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</si>
  <si>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</si>
  <si>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</si>
  <si>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</si>
  <si>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</si>
  <si>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</si>
  <si>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</si>
  <si>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</si>
  <si>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</si>
  <si>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</si>
  <si>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</si>
  <si>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</si>
  <si>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</si>
  <si>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</si>
  <si>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</si>
  <si>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</si>
  <si>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</si>
  <si>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</si>
  <si>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</si>
  <si>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</si>
  <si>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</si>
  <si>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</si>
  <si>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</si>
  <si>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</si>
  <si>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</si>
  <si>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</si>
  <si>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</si>
  <si>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</si>
  <si>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</si>
  <si>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</si>
  <si>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</si>
  <si>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</si>
  <si>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</si>
  <si>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</si>
  <si>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</si>
  <si>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</si>
  <si>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</si>
  <si>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</si>
  <si>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</si>
  <si>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</si>
  <si>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</si>
  <si>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</si>
  <si>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</si>
  <si>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</si>
  <si>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</si>
  <si>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</si>
  <si>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</si>
  <si>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</si>
  <si>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</si>
  <si>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</si>
  <si>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</si>
  <si>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</si>
  <si>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</si>
  <si>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</si>
  <si>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</si>
  <si>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</si>
  <si>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</si>
  <si>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</si>
  <si>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</si>
  <si>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</si>
  <si>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</si>
  <si>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</si>
  <si>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</si>
  <si>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</si>
  <si>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</si>
  <si>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</si>
  <si>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</si>
  <si>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</si>
  <si>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</si>
  <si>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</si>
  <si>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</si>
  <si>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</si>
  <si>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</si>
  <si>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</si>
  <si>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</si>
  <si>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</si>
  <si>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</si>
  <si>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</si>
  <si>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</si>
  <si>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</si>
  <si>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</si>
  <si>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</si>
  <si>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</si>
  <si>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</si>
  <si>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</si>
  <si>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</si>
  <si>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</si>
  <si>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</si>
  <si>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</si>
  <si>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</si>
  <si>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</si>
  <si>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</si>
  <si>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</si>
  <si>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</si>
  <si>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</si>
  <si>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</si>
  <si>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</si>
  <si>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</si>
  <si>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</si>
  <si>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</si>
  <si>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</si>
  <si>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</si>
  <si>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</si>
  <si>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</si>
  <si>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</si>
  <si>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</si>
  <si>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</si>
  <si>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</si>
  <si>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</si>
  <si>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</si>
  <si>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</si>
  <si>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</si>
  <si>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</si>
  <si>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</si>
  <si>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</si>
  <si>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</si>
  <si>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</si>
  <si>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</si>
  <si>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</si>
  <si>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</si>
  <si>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</si>
  <si>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</si>
  <si>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</si>
  <si>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</si>
  <si>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</si>
  <si>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</si>
  <si>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</si>
  <si>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</si>
  <si>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</si>
  <si>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</si>
  <si>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</si>
  <si>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</si>
  <si>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</si>
  <si>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</si>
  <si>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</si>
  <si>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</si>
  <si>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</si>
  <si>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</si>
  <si>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</si>
  <si>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</si>
  <si>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</si>
  <si>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</si>
  <si>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</si>
  <si>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</si>
  <si>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</si>
  <si>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</si>
  <si>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</si>
  <si>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</si>
  <si>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</si>
  <si>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</si>
  <si>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</si>
  <si>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</si>
  <si>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</si>
  <si>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</si>
  <si>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</si>
  <si>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</si>
  <si>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</si>
  <si>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</si>
  <si>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</si>
  <si>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</si>
  <si>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</si>
  <si>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</si>
  <si>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</si>
  <si>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</si>
  <si>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</si>
  <si>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</si>
  <si>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</si>
  <si>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</si>
  <si>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</si>
  <si>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</si>
  <si>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</si>
  <si>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</si>
  <si>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</si>
  <si>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</si>
  <si>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</si>
  <si>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</si>
  <si>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</si>
  <si>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</si>
  <si>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</si>
  <si>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</si>
  <si>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</si>
  <si>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</si>
  <si>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</si>
  <si>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</si>
  <si>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</si>
  <si>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</si>
  <si>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</si>
  <si>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</si>
  <si>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</si>
  <si>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</si>
  <si>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</si>
  <si>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</si>
  <si>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</si>
  <si>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</si>
  <si>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</si>
  <si>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</si>
  <si>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</si>
  <si>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</si>
  <si>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</si>
  <si>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</si>
  <si>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</si>
  <si>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</si>
  <si>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</si>
  <si>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</si>
  <si>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</si>
  <si>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</si>
  <si>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</si>
  <si>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</si>
  <si>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</si>
  <si>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</si>
  <si>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</si>
  <si>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</si>
  <si>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</si>
  <si>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</si>
  <si>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</si>
  <si>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</si>
  <si>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</si>
  <si>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</si>
  <si>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</si>
  <si>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</si>
  <si>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</si>
  <si>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</si>
  <si>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</si>
  <si>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</si>
  <si>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</si>
  <si>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</si>
  <si>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</si>
  <si>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</si>
  <si>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</si>
  <si>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</si>
  <si>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</si>
  <si>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</si>
  <si>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</si>
  <si>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</si>
  <si>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</si>
  <si>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</si>
  <si>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</si>
  <si>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</si>
  <si>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</si>
  <si>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</si>
  <si>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</si>
  <si>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</si>
  <si>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</si>
  <si>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</si>
  <si>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</si>
  <si>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</si>
  <si>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</si>
  <si>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</si>
  <si>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</si>
  <si>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</si>
  <si>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</si>
  <si>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</si>
  <si>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</si>
  <si>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</si>
  <si>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</si>
  <si>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</si>
  <si>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</si>
  <si>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</si>
  <si>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</si>
  <si>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</si>
  <si>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</si>
  <si>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</si>
  <si>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</si>
  <si>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</si>
  <si>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</si>
  <si>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</si>
  <si>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</si>
  <si>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</si>
  <si>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</si>
  <si>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</si>
  <si>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</si>
  <si>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</si>
  <si>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</si>
  <si>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</si>
  <si>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</si>
  <si>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</si>
  <si>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</si>
  <si>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</si>
  <si>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</si>
  <si>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</si>
  <si>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</si>
  <si>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</si>
  <si>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</si>
  <si>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</si>
  <si>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</si>
  <si>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</si>
  <si>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</si>
  <si>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</si>
  <si>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</si>
  <si>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</si>
  <si>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</si>
  <si>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</si>
  <si>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</si>
  <si>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</si>
  <si>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</si>
  <si>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</si>
  <si>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</si>
  <si>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</si>
  <si>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</si>
  <si>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</si>
  <si>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</si>
  <si>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</si>
  <si>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</si>
  <si>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</si>
  <si>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</si>
  <si>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</si>
  <si>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</si>
  <si>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</si>
  <si>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</si>
  <si>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</si>
  <si>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</si>
  <si>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</si>
  <si>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</si>
  <si>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</si>
  <si>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</si>
  <si>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</si>
  <si>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</si>
  <si>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</si>
  <si>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</si>
  <si>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</si>
  <si>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</si>
  <si>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</si>
  <si>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</si>
  <si>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</si>
  <si>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</si>
  <si>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</si>
  <si>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</si>
  <si>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</si>
  <si>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</si>
  <si>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</si>
  <si>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</si>
  <si>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</si>
  <si>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</si>
  <si>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</si>
  <si>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</si>
  <si>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</si>
  <si>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</si>
  <si>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</si>
  <si>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</si>
  <si>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</si>
  <si>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</si>
  <si>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</si>
  <si>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</si>
  <si>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</si>
  <si>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</si>
  <si>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</si>
  <si>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</si>
  <si>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</si>
  <si>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</si>
  <si>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</si>
  <si>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</si>
  <si>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</si>
  <si>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</si>
  <si>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</si>
  <si>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</si>
  <si>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</si>
  <si>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</si>
  <si>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</si>
  <si>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</si>
  <si>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</si>
  <si>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</si>
  <si>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</si>
  <si>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</si>
  <si>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</si>
  <si>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</si>
  <si>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</si>
  <si>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</si>
  <si>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</si>
  <si>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</si>
  <si>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</si>
  <si>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</si>
  <si>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</si>
  <si>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</si>
  <si>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</si>
  <si>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</si>
  <si>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</si>
  <si>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</si>
  <si>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</si>
  <si>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</si>
  <si>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</si>
  <si>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</si>
  <si>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</si>
  <si>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</si>
  <si>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</si>
  <si>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</si>
  <si>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</si>
  <si>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</si>
  <si>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</si>
  <si>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</si>
  <si>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</si>
  <si>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</si>
  <si>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</si>
  <si>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</si>
  <si>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</si>
  <si>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</si>
  <si>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</si>
  <si>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</si>
  <si>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</si>
  <si>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</si>
  <si>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</si>
  <si>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</si>
  <si>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</si>
  <si>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</si>
  <si>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</si>
  <si>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</si>
  <si>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</si>
  <si>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</si>
  <si>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</si>
  <si>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</si>
  <si>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</si>
  <si>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</si>
  <si>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</si>
  <si>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</si>
  <si>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</si>
  <si>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</si>
  <si>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</si>
  <si>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</si>
  <si>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</si>
  <si>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</si>
  <si>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</si>
  <si>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</si>
  <si>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</si>
  <si>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</si>
  <si>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</si>
  <si>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</si>
  <si>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</si>
  <si>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</si>
  <si>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</si>
  <si>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</si>
  <si>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</si>
  <si>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</si>
  <si>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</si>
  <si>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</si>
  <si>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</si>
  <si>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</si>
  <si>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</si>
  <si>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</si>
  <si>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</si>
  <si>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</si>
  <si>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</si>
  <si>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</si>
  <si>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</si>
  <si>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</si>
  <si>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</si>
  <si>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</si>
  <si>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</si>
  <si>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</si>
  <si>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</si>
  <si>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</si>
  <si>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</si>
  <si>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</si>
  <si>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</si>
  <si>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</si>
  <si>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</si>
  <si>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</si>
  <si>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</si>
  <si>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</si>
  <si>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</si>
  <si>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</si>
  <si>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</si>
  <si>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</si>
  <si>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</si>
  <si>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</si>
  <si>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</si>
  <si>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</si>
  <si>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</si>
  <si>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</si>
  <si>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</si>
  <si>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</si>
  <si>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</si>
  <si>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</si>
  <si>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</si>
  <si>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</si>
  <si>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</si>
  <si>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</si>
  <si>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</si>
  <si>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</si>
  <si>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</si>
  <si>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</si>
  <si>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</si>
  <si>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</si>
  <si>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</si>
  <si>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</si>
  <si>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</si>
  <si>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</si>
  <si>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</si>
  <si>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</si>
  <si>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</si>
  <si>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</si>
  <si>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</si>
  <si>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</si>
  <si>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</si>
  <si>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</si>
  <si>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</si>
  <si>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</si>
  <si>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</si>
  <si>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</si>
  <si>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</si>
  <si>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</si>
  <si>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</si>
  <si>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</si>
  <si>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</si>
  <si>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</si>
  <si>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</si>
  <si>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</si>
  <si>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</si>
  <si>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</si>
  <si>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</si>
  <si>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</si>
  <si>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</si>
  <si>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</si>
  <si>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</si>
  <si>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</si>
  <si>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</si>
  <si>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</si>
  <si>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</si>
  <si>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</si>
  <si>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</si>
  <si>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</si>
  <si>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</si>
  <si>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</si>
  <si>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</si>
  <si>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</si>
  <si>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</si>
  <si>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</si>
  <si>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</si>
  <si>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</si>
  <si>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</si>
  <si>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</si>
  <si>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</si>
  <si>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</si>
  <si>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</si>
  <si>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</si>
  <si>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</si>
  <si>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</si>
  <si>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</si>
  <si>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</si>
  <si>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</si>
  <si>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</si>
  <si>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</si>
  <si>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</si>
  <si>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</si>
  <si>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</si>
  <si>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</si>
  <si>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</si>
  <si>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</si>
  <si>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</si>
  <si>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</si>
  <si>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</si>
  <si>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</si>
  <si>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</si>
  <si>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</si>
  <si>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</si>
  <si>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</si>
  <si>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</si>
  <si>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</si>
  <si>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</si>
  <si>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</si>
  <si>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</si>
  <si>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</si>
  <si>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</si>
  <si>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</si>
  <si>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</si>
  <si>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</si>
  <si>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</si>
  <si>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</si>
  <si>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</si>
  <si>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</si>
  <si>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</si>
  <si>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</si>
  <si>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</si>
  <si>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</si>
  <si>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</si>
  <si>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</si>
  <si>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</si>
  <si>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</si>
  <si>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</si>
  <si>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</si>
  <si>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</si>
  <si>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</si>
  <si>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</si>
  <si>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</si>
  <si>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</si>
  <si>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</si>
  <si>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</si>
  <si>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</si>
  <si>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</si>
  <si>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</si>
  <si>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</si>
  <si>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</si>
  <si>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</si>
  <si>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</si>
  <si>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</si>
  <si>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</si>
  <si>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</si>
  <si>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</si>
  <si>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</si>
  <si>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</si>
  <si>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</si>
  <si>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</si>
  <si>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</si>
  <si>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</si>
  <si>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</si>
  <si>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</si>
  <si>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</si>
  <si>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</si>
  <si>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</si>
  <si>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</si>
  <si>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</si>
  <si>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</si>
  <si>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</si>
  <si>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</si>
  <si>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</si>
  <si>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</si>
  <si>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</si>
  <si>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</si>
  <si>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</si>
  <si>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</si>
  <si>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</si>
  <si>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</si>
  <si>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</si>
  <si>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</si>
  <si>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</si>
  <si>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</si>
  <si>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</si>
  <si>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</si>
  <si>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</si>
  <si>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</si>
  <si>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</si>
  <si>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</si>
  <si>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</si>
  <si>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</si>
  <si>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</si>
  <si>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</si>
  <si>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</si>
  <si>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</si>
  <si>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</si>
  <si>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</si>
  <si>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</si>
  <si>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</si>
  <si>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</si>
  <si>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</si>
  <si>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</si>
  <si>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</si>
  <si>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</si>
  <si>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</si>
  <si>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</si>
  <si>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</si>
  <si>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</si>
  <si>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</si>
  <si>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</si>
  <si>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</si>
  <si>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</si>
  <si>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</si>
  <si>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</si>
  <si>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</si>
  <si>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</si>
  <si>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</si>
  <si>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</si>
  <si>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</si>
  <si>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</si>
  <si>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</si>
  <si>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</si>
  <si>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</si>
  <si>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</si>
  <si>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</si>
  <si>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</si>
  <si>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</si>
  <si>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</si>
  <si>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</si>
  <si>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</si>
  <si>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</si>
  <si>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</si>
  <si>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</si>
  <si>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</si>
  <si>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</si>
  <si>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</si>
  <si>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</si>
  <si>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</si>
  <si>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</si>
  <si>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</si>
  <si>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</si>
  <si>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</si>
  <si>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</si>
  <si>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</si>
  <si>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</si>
  <si>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</si>
  <si>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</si>
  <si>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</si>
  <si>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</si>
  <si>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</si>
  <si>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</si>
  <si>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</si>
  <si>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</si>
  <si>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</si>
  <si>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</si>
  <si>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</si>
  <si>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</si>
  <si>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</si>
  <si>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</si>
  <si>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</si>
  <si>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</si>
  <si>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</si>
  <si>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</si>
  <si>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</si>
  <si>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</si>
  <si>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</si>
  <si>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</si>
  <si>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</si>
  <si>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</si>
  <si>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</si>
  <si>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</si>
  <si>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</si>
  <si>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</si>
  <si>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</si>
  <si>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</si>
  <si>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</si>
  <si>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</si>
  <si>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</si>
  <si>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</si>
  <si>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</si>
  <si>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</si>
  <si>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</si>
  <si>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</si>
  <si>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</si>
  <si>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</si>
  <si>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</si>
  <si>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</si>
  <si>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</si>
  <si>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</si>
  <si>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</si>
  <si>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</si>
  <si>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</si>
  <si>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</si>
  <si>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</si>
  <si>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</si>
  <si>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</si>
  <si>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</si>
  <si>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</si>
  <si>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</si>
  <si>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</si>
  <si>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</si>
  <si>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</si>
  <si>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</si>
  <si>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</si>
  <si>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</si>
  <si>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</si>
  <si>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</si>
  <si>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</si>
  <si>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</si>
  <si>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</si>
  <si>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</si>
  <si>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</si>
  <si>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</si>
  <si>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</si>
  <si>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</si>
  <si>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</si>
  <si>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</si>
  <si>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</si>
  <si>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</si>
  <si>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</si>
  <si>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</si>
  <si>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</si>
  <si>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</si>
  <si>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</si>
  <si>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</si>
  <si>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</si>
  <si>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</si>
  <si>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</si>
  <si>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</si>
  <si>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</si>
  <si>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</si>
  <si>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</si>
  <si>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</si>
  <si>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</si>
  <si>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</si>
  <si>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</si>
  <si>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</si>
  <si>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</si>
  <si>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</si>
  <si>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</si>
  <si>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</si>
  <si>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</si>
  <si>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</si>
  <si>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</si>
  <si>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</si>
  <si>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</si>
  <si>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</si>
  <si>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</si>
  <si>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</si>
  <si>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</si>
  <si>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</si>
  <si>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</si>
  <si>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</si>
  <si>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</si>
  <si>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</si>
  <si>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</si>
  <si>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</si>
  <si>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</si>
  <si>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</si>
  <si>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</si>
  <si>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</si>
  <si>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</si>
  <si>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</si>
  <si>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</si>
  <si>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</si>
  <si>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</si>
  <si>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</si>
  <si>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</si>
  <si>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</si>
  <si>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</si>
  <si>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</si>
  <si>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</si>
  <si>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</si>
  <si>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</si>
  <si>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</si>
  <si>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</si>
  <si>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</si>
  <si>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</si>
  <si>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</si>
  <si>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</si>
  <si>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</si>
  <si>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</si>
  <si>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</si>
  <si>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</si>
  <si>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</si>
  <si>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</si>
  <si>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</si>
  <si>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</si>
  <si>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</si>
  <si>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</si>
  <si>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</si>
  <si>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</si>
  <si>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</si>
  <si>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</si>
  <si>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</si>
  <si>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</si>
  <si>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</si>
  <si>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</si>
  <si>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</si>
  <si>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</si>
  <si>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</si>
  <si>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</si>
  <si>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</si>
  <si>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</si>
  <si>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</si>
  <si>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</si>
  <si>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</si>
  <si>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</si>
  <si>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</si>
  <si>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</si>
  <si>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</si>
  <si>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</si>
  <si>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</si>
  <si>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</si>
  <si>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</si>
  <si>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</si>
  <si>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</si>
  <si>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</si>
  <si>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</si>
  <si>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</si>
  <si>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</si>
  <si>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</si>
  <si>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</si>
  <si>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</si>
  <si>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</si>
  <si>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</si>
  <si>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</si>
  <si>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</si>
  <si>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</si>
  <si>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</si>
  <si>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</si>
  <si>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</si>
  <si>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</si>
  <si>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</si>
  <si>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</si>
  <si>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</si>
  <si>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</si>
  <si>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</si>
  <si>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</si>
  <si>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</si>
  <si>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</si>
  <si>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</si>
  <si>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</si>
  <si>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</si>
  <si>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</si>
  <si>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</si>
  <si>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</si>
  <si>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</si>
  <si>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</si>
  <si>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</si>
  <si>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</si>
  <si>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</si>
  <si>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</si>
  <si>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</si>
  <si>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</si>
  <si>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</si>
  <si>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</si>
  <si>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</si>
  <si>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</si>
  <si>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</si>
  <si>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</si>
  <si>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</si>
  <si>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</si>
  <si>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</si>
  <si>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</si>
  <si>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</si>
  <si>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</si>
  <si>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</si>
  <si>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</si>
  <si>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</si>
  <si>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</si>
  <si>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</si>
  <si>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</si>
  <si>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</si>
  <si>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</si>
  <si>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</si>
  <si>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</si>
  <si>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</si>
  <si>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</si>
  <si>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</si>
  <si>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</si>
  <si>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</si>
  <si>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</si>
  <si>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</si>
  <si>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</si>
  <si>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</si>
  <si>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</si>
  <si>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</si>
  <si>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</si>
  <si>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</si>
  <si>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</si>
  <si>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</si>
  <si>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</si>
  <si>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</si>
  <si>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</si>
  <si>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</si>
  <si>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</si>
  <si>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</si>
  <si>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</si>
  <si>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</si>
  <si>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</si>
  <si>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</si>
  <si>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</si>
  <si>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</si>
  <si>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</si>
  <si>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</si>
  <si>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</si>
  <si>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</si>
  <si>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</si>
  <si>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</si>
  <si>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</si>
  <si>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</si>
  <si>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</si>
  <si>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</si>
  <si>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</si>
  <si>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</si>
  <si>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</si>
  <si>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</si>
  <si>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</si>
  <si>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</si>
  <si>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</si>
  <si>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</si>
  <si>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</si>
  <si>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</si>
  <si>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</si>
  <si>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</si>
  <si>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</si>
  <si>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</si>
  <si>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</si>
  <si>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</si>
  <si>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</si>
  <si>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</si>
  <si>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</si>
  <si>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</si>
  <si>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</si>
  <si>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</si>
  <si>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</si>
  <si>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</si>
  <si>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</si>
  <si>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</si>
  <si>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</si>
  <si>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</si>
  <si>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</si>
  <si>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</si>
  <si>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</si>
  <si>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</si>
  <si>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</si>
  <si>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</si>
  <si>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</si>
  <si>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</si>
  <si>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</si>
  <si>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</si>
  <si>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</si>
  <si>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</si>
  <si>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</si>
  <si>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</si>
  <si>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</si>
  <si>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</si>
  <si>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</si>
  <si>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</si>
  <si>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</si>
  <si>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</si>
  <si>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</si>
  <si>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</si>
  <si>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</si>
  <si>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</si>
  <si>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</si>
  <si>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</si>
  <si>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</si>
  <si>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</si>
  <si>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</si>
  <si>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</si>
  <si>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</si>
  <si>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</si>
  <si>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</si>
  <si>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</si>
  <si>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</si>
  <si>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</si>
  <si>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</si>
  <si>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</si>
  <si>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</si>
  <si>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</si>
  <si>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</si>
  <si>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</si>
  <si>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</si>
  <si>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</si>
  <si>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</si>
  <si>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</si>
  <si>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</si>
  <si>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</si>
  <si>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</si>
  <si>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</si>
  <si>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</si>
  <si>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</si>
  <si>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</si>
  <si>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</si>
  <si>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</si>
  <si>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</si>
  <si>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</si>
  <si>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</si>
  <si>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</si>
  <si>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</si>
  <si>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</si>
  <si>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</si>
  <si>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</si>
  <si>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</si>
  <si>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</si>
  <si>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</si>
  <si>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</si>
  <si>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</si>
  <si>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</si>
  <si>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</si>
  <si>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</si>
  <si>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</si>
  <si>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</si>
  <si>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</si>
  <si>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</si>
  <si>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</si>
  <si>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</si>
  <si>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</si>
  <si>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</si>
  <si>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</si>
  <si>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</si>
  <si>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</si>
  <si>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</si>
  <si>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</si>
  <si>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</si>
  <si>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</si>
  <si>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</si>
  <si>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</si>
  <si>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</si>
  <si>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</si>
  <si>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</si>
  <si>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</si>
  <si>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</si>
  <si>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</si>
  <si>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</si>
  <si>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</si>
  <si>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</si>
  <si>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</si>
  <si>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</si>
  <si>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</si>
  <si>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</si>
  <si>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</si>
  <si>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</si>
  <si>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</si>
  <si>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</si>
  <si>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</si>
  <si>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</si>
  <si>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</si>
  <si>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</si>
  <si>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</si>
  <si>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</si>
  <si>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</si>
  <si>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</si>
  <si>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</si>
  <si>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</si>
  <si>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</si>
  <si>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</si>
  <si>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</si>
  <si>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</si>
  <si>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</si>
  <si>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</si>
  <si>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</si>
  <si>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</si>
  <si>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</si>
  <si>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</si>
  <si>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</si>
  <si>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</si>
  <si>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</si>
  <si>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</si>
  <si>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</si>
  <si>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</si>
  <si>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</si>
  <si>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</si>
  <si>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</si>
  <si>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</si>
  <si>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</si>
  <si>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</si>
  <si>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</si>
  <si>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</si>
  <si>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</si>
  <si>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</si>
  <si>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</si>
  <si>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</si>
  <si>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</si>
  <si>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</si>
  <si>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</si>
  <si>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</si>
  <si>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</si>
  <si>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</si>
  <si>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</si>
  <si>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</si>
  <si>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</si>
  <si>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</si>
  <si>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</si>
  <si>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</si>
  <si>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</si>
  <si>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</si>
  <si>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</si>
  <si>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</si>
  <si>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</si>
  <si>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</si>
  <si>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</si>
  <si>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</si>
  <si>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</si>
  <si>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</si>
  <si>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</si>
  <si>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</si>
  <si>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</si>
  <si>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</si>
  <si>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</si>
  <si>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</si>
  <si>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</si>
  <si>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</si>
  <si>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</si>
  <si>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</si>
  <si>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</si>
  <si>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</si>
  <si>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</si>
  <si>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</si>
  <si>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</si>
  <si>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</si>
  <si>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</si>
  <si>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</si>
  <si>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</si>
  <si>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</si>
  <si>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</si>
  <si>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</si>
  <si>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</si>
  <si>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</si>
  <si>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</si>
  <si>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</si>
  <si>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</si>
  <si>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</si>
  <si>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</si>
  <si>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</si>
  <si>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</si>
  <si>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</si>
  <si>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</si>
  <si>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</si>
  <si>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</si>
  <si>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</si>
  <si>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</si>
  <si>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</si>
  <si>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</si>
  <si>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</si>
  <si>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</si>
  <si>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</si>
  <si>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</si>
  <si>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</si>
  <si>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</si>
  <si>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</si>
  <si>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</si>
  <si>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</si>
  <si>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</si>
  <si>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</si>
  <si>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</si>
  <si>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</si>
  <si>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</si>
  <si>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</si>
  <si>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</si>
  <si>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</si>
  <si>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</si>
  <si>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</si>
  <si>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</si>
  <si>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</si>
  <si>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</si>
  <si>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</si>
  <si>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</si>
  <si>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</si>
  <si>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</si>
  <si>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</si>
  <si>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</si>
  <si>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</si>
  <si>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</si>
  <si>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</si>
  <si>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</si>
  <si>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</si>
  <si>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</si>
  <si>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</si>
  <si>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</si>
  <si>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</si>
  <si>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</si>
  <si>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</si>
  <si>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</si>
  <si>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</si>
  <si>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</si>
  <si>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</si>
  <si>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</si>
  <si>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</si>
  <si>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</si>
  <si>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</si>
  <si>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</si>
  <si>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</si>
  <si>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</si>
  <si>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</si>
  <si>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</si>
  <si>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</si>
  <si>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</si>
  <si>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</si>
  <si>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</si>
  <si>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</si>
  <si>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</si>
  <si>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</si>
  <si>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</si>
  <si>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</si>
  <si>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</si>
  <si>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</si>
  <si>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</si>
  <si>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</si>
  <si>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</si>
  <si>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</si>
  <si>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</si>
  <si>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</si>
  <si>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</si>
  <si>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</si>
  <si>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</si>
  <si>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</si>
  <si>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</si>
  <si>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</si>
  <si>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</si>
  <si>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</si>
  <si>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</si>
  <si>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</si>
  <si>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</si>
  <si>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</si>
  <si>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</si>
  <si>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</si>
  <si>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</si>
  <si>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</si>
  <si>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</si>
  <si>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</si>
  <si>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</si>
  <si>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</si>
  <si>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</si>
  <si>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</si>
  <si>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</si>
  <si>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</si>
  <si>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</si>
  <si>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</si>
  <si>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</si>
  <si>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</si>
  <si>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</si>
  <si>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</si>
  <si>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</si>
  <si>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</si>
  <si>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</si>
  <si>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</si>
  <si>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</si>
  <si>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</si>
  <si>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</si>
  <si>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</si>
  <si>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</si>
  <si>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</si>
  <si>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</si>
  <si>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</si>
  <si>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</si>
  <si>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</si>
  <si>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</si>
  <si>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</si>
  <si>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</si>
  <si>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</si>
  <si>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</si>
  <si>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</si>
  <si>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</si>
  <si>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</si>
  <si>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</si>
  <si>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</si>
  <si>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</si>
  <si>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</si>
  <si>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</si>
  <si>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</si>
  <si>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</si>
  <si>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</si>
  <si>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</si>
  <si>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</si>
  <si>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</si>
  <si>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</si>
  <si>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</si>
  <si>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</si>
  <si>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</si>
  <si>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</si>
  <si>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</si>
  <si>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</si>
  <si>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</si>
  <si>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</si>
  <si>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</si>
  <si>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</si>
  <si>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</si>
  <si>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</si>
  <si>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</si>
  <si>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</si>
  <si>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</si>
  <si>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</si>
  <si>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</si>
  <si>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</si>
  <si>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</si>
  <si>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</si>
  <si>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</si>
  <si>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</si>
  <si>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</si>
  <si>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</si>
  <si>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</si>
  <si>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</si>
  <si>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</si>
  <si>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</si>
  <si>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</si>
  <si>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</si>
  <si>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</si>
  <si>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</si>
  <si>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</si>
  <si>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</si>
  <si>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</si>
  <si>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</si>
  <si>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</si>
  <si>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</si>
  <si>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</si>
  <si>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</si>
  <si>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</si>
  <si>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</si>
  <si>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</si>
  <si>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</si>
  <si>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</si>
  <si>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</si>
  <si>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</si>
  <si>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</si>
  <si>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</si>
  <si>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</si>
  <si>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</si>
  <si>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</si>
  <si>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</si>
  <si>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</si>
  <si>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</si>
  <si>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</si>
  <si>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</si>
  <si>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</si>
  <si>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</si>
  <si>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</si>
  <si>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</si>
  <si>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</si>
  <si>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</si>
  <si>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</si>
  <si>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</si>
  <si>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</si>
  <si>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</si>
  <si>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</si>
  <si>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</si>
  <si>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</si>
  <si>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</si>
  <si>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</si>
  <si>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</si>
  <si>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</si>
  <si>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</si>
  <si>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</si>
  <si>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</si>
  <si>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</si>
  <si>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</si>
  <si>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</si>
  <si>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</si>
  <si>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</si>
  <si>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</si>
  <si>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</si>
  <si>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</si>
  <si>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</si>
  <si>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</si>
  <si>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</si>
  <si>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</si>
  <si>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</si>
  <si>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</si>
  <si>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</si>
  <si>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</si>
  <si>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</si>
  <si>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</si>
  <si>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</si>
  <si>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</si>
  <si>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</si>
  <si>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</si>
  <si>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</si>
  <si>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</si>
  <si>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</si>
  <si>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</si>
  <si>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</si>
  <si>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</si>
  <si>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</si>
  <si>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</si>
  <si>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</si>
  <si>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</si>
  <si>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</si>
  <si>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</si>
  <si>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</si>
  <si>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</si>
  <si>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</si>
  <si>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</si>
  <si>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</si>
  <si>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</si>
  <si>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</si>
  <si>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</si>
  <si>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</si>
  <si>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</si>
  <si>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</si>
  <si>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</si>
  <si>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</si>
  <si>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</si>
  <si>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</si>
  <si>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</si>
  <si>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</si>
  <si>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</si>
  <si>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</si>
  <si>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</si>
  <si>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</si>
  <si>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</si>
  <si>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</si>
  <si>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</si>
  <si>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</si>
  <si>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</si>
  <si>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</si>
  <si>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</si>
  <si>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</si>
  <si>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</si>
  <si>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</si>
  <si>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</si>
  <si>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</si>
  <si>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</si>
  <si>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</si>
  <si>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</si>
  <si>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</si>
  <si>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</si>
  <si>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</si>
  <si>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</si>
  <si>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</si>
  <si>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</si>
  <si>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</si>
  <si>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</si>
  <si>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</si>
  <si>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</si>
  <si>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</si>
  <si>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</si>
  <si>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</si>
  <si>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</si>
  <si>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</si>
  <si>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</si>
  <si>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</si>
  <si>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</si>
  <si>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</si>
  <si>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</si>
  <si>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</si>
  <si>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</si>
  <si>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</si>
  <si>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</si>
  <si>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</si>
  <si>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</si>
  <si>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</si>
  <si>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</si>
  <si>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</si>
  <si>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</si>
  <si>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</si>
  <si>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</si>
  <si>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</si>
  <si>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</si>
  <si>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</si>
  <si>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</si>
  <si>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</si>
  <si>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</si>
  <si>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</si>
  <si>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</si>
  <si>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</si>
  <si>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</si>
  <si>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</si>
  <si>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</si>
  <si>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</si>
  <si>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</si>
  <si>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</si>
  <si>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</si>
  <si>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</si>
  <si>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</si>
  <si>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</si>
  <si>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</si>
  <si>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</si>
  <si>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</si>
  <si>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</si>
  <si>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</si>
  <si>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</si>
  <si>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</si>
  <si>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</si>
  <si>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</si>
  <si>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</si>
  <si>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</si>
  <si>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</si>
  <si>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</si>
  <si>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</si>
  <si>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</si>
  <si>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</si>
  <si>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</si>
  <si>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</si>
  <si>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</si>
  <si>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</si>
  <si>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</si>
  <si>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</si>
  <si>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</si>
  <si>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</si>
  <si>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</si>
  <si>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</si>
  <si>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</si>
  <si>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</si>
  <si>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</si>
  <si>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</si>
  <si>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</si>
  <si>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</si>
  <si>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</si>
  <si>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</si>
  <si>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</si>
  <si>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</si>
  <si>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</si>
  <si>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</si>
  <si>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</si>
  <si>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</si>
  <si>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</si>
  <si>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</si>
  <si>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</si>
  <si>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</si>
  <si>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</si>
  <si>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</si>
  <si>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</si>
  <si>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</si>
  <si>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</si>
  <si>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</si>
  <si>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</si>
  <si>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</si>
  <si>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</si>
  <si>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</si>
  <si>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</si>
  <si>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</si>
  <si>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</si>
  <si>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</si>
  <si>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</si>
  <si>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</si>
  <si>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</si>
  <si>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</si>
  <si>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</si>
  <si>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</si>
  <si>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</si>
  <si>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</si>
  <si>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</si>
  <si>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</si>
  <si>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</si>
  <si>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</si>
  <si>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</si>
  <si>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</si>
  <si>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</si>
  <si>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</si>
  <si>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</si>
  <si>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</si>
  <si>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</si>
  <si>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</si>
  <si>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</si>
  <si>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</si>
  <si>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</si>
  <si>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</si>
  <si>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</si>
  <si>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</si>
  <si>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</si>
  <si>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</si>
  <si>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</si>
  <si>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</si>
  <si>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</si>
  <si>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</si>
  <si>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</si>
  <si>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</si>
  <si>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</si>
  <si>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</si>
  <si>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</si>
  <si>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</si>
  <si>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</si>
  <si>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</si>
  <si>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</si>
  <si>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</si>
  <si>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</si>
  <si>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</si>
  <si>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</si>
  <si>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</si>
  <si>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</si>
  <si>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</si>
  <si>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</si>
  <si>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</si>
  <si>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</si>
  <si>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</si>
  <si>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</si>
  <si>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</si>
  <si>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</si>
  <si>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</si>
  <si>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</si>
  <si>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</si>
  <si>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</si>
  <si>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</si>
  <si>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</si>
  <si>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</si>
  <si>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</si>
  <si>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</si>
  <si>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</si>
  <si>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</si>
  <si>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</si>
  <si>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</si>
  <si>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</si>
  <si>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</si>
  <si>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</si>
  <si>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</si>
  <si>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</si>
  <si>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</si>
  <si>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</si>
  <si>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</si>
  <si>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</si>
  <si>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</si>
  <si>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</si>
  <si>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</si>
  <si>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</si>
  <si>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</si>
  <si>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</si>
  <si>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</si>
  <si>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</si>
  <si>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</si>
  <si>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</si>
  <si>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</si>
  <si>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</si>
  <si>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</si>
  <si>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</si>
  <si>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</si>
  <si>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</si>
  <si>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</si>
  <si>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</si>
  <si>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</si>
  <si>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</si>
  <si>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</si>
  <si>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</si>
  <si>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</si>
  <si>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</si>
  <si>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</si>
  <si>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</si>
  <si>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</si>
  <si>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</si>
  <si>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</si>
  <si>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</si>
  <si>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</si>
  <si>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</si>
  <si>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</si>
  <si>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</si>
  <si>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</si>
  <si>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</si>
  <si>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</si>
  <si>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</si>
  <si>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</si>
  <si>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</si>
  <si>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</si>
  <si>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</si>
  <si>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</si>
  <si>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</si>
  <si>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</si>
  <si>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</si>
  <si>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</si>
  <si>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</si>
  <si>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</si>
  <si>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</si>
  <si>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</si>
  <si>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</si>
  <si>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</si>
  <si>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</si>
  <si>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</si>
  <si>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</si>
  <si>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</si>
  <si>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</si>
  <si>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</si>
  <si>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</si>
  <si>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</si>
  <si>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</si>
  <si>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</si>
  <si>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</si>
  <si>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</si>
  <si>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</si>
  <si>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</si>
  <si>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</si>
  <si>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</si>
  <si>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</si>
  <si>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</si>
  <si>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</si>
  <si>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</si>
  <si>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</si>
  <si>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</si>
  <si>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</si>
  <si>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</si>
  <si>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</si>
  <si>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</si>
  <si>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</si>
  <si>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</si>
  <si>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</si>
  <si>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</si>
  <si>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</si>
  <si>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</si>
  <si>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</si>
  <si>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</si>
  <si>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</si>
  <si>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</si>
  <si>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</si>
  <si>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</si>
  <si>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</si>
  <si>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</si>
  <si>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</si>
  <si>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</si>
  <si>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</si>
  <si>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</si>
  <si>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</si>
  <si>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</si>
  <si>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</si>
  <si>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</si>
  <si>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</si>
  <si>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</si>
  <si>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</si>
  <si>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</si>
  <si>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</si>
  <si>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</si>
  <si>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</si>
  <si>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</si>
  <si>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</si>
  <si>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</si>
  <si>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</si>
  <si>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</si>
  <si>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</si>
  <si>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</si>
  <si>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</si>
  <si>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</si>
  <si>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</si>
  <si>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</si>
  <si>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</si>
  <si>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</si>
  <si>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</si>
  <si>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</si>
  <si>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</si>
  <si>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</si>
  <si>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</si>
  <si>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</si>
  <si>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</si>
  <si>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</si>
  <si>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</si>
  <si>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</si>
  <si>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</si>
  <si>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</si>
  <si>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</si>
  <si>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</si>
  <si>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</si>
  <si>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</si>
  <si>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</si>
  <si>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</si>
  <si>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</si>
  <si>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</si>
  <si>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</si>
  <si>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</si>
  <si>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</si>
  <si>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HUB Prodemge</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</si>
  <si>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</si>
  <si>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</si>
  <si>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</si>
  <si>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</si>
  <si>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</si>
  <si>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</si>
  <si>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</si>
  <si>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</si>
  <si>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</si>
  <si>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</si>
  <si>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</si>
  <si>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</si>
  <si>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</si>
  <si>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</si>
  <si>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</si>
  <si>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</si>
  <si>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</si>
  <si>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</si>
  <si>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</si>
  <si>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</si>
  <si>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</si>
  <si>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</si>
  <si>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</si>
  <si>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</si>
  <si>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</si>
  <si>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</si>
  <si>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</si>
  <si>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</si>
  <si>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</si>
  <si>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</si>
  <si>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</si>
  <si>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</si>
  <si>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</si>
  <si>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</si>
  <si>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</si>
  <si>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</si>
  <si>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</si>
  <si>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</si>
  <si>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</si>
  <si>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</si>
  <si>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</si>
  <si>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</si>
  <si>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</si>
  <si>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</si>
  <si>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</si>
  <si>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</si>
  <si>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</si>
  <si>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</si>
  <si>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</si>
  <si>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</si>
  <si>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</si>
  <si>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</si>
  <si>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</si>
  <si>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A vsat está hora perdendo pacotes, hora normalizada. Provavelmente há algo bloqueando a visada da antena. A configuração está normal e a VSAT está no pop id 3.</t>
  </si>
  <si>
    <t>Reapontamento e Xpol</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</si>
</sst>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9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NumberFormat="1" applyFont="1" applyFill="1" applyBorder="1" applyAlignment="1">
      <alignment horizontal="center"/>
    </xf>
    <xf numFmtId="0" fontId="15" fillId="0" borderId="5" xfId="0" applyFont="1" applyFill="1" applyBorder="1" applyAlignment="1">
      <alignment wrapText="1"/>
    </xf>
    <xf numFmtId="14" fontId="15" fillId="0" borderId="5" xfId="0" applyNumberFormat="1" applyFont="1" applyFill="1" applyBorder="1" applyAlignment="1"/>
    <xf numFmtId="14" fontId="15" fillId="0" borderId="5" xfId="0" applyNumberFormat="1" applyFont="1" applyFill="1" applyBorder="1"/>
    <xf numFmtId="164" fontId="15" fillId="0" borderId="5" xfId="0" applyNumberFormat="1" applyFont="1" applyFill="1" applyBorder="1"/>
    <xf numFmtId="0" fontId="15" fillId="0" borderId="5" xfId="0" applyFont="1" applyFill="1" applyBorder="1" applyAlignment="1"/>
    <xf numFmtId="14" fontId="15" fillId="0" borderId="9" xfId="0" applyNumberFormat="1" applyFont="1" applyFill="1" applyBorder="1" applyAlignment="1"/>
    <xf numFmtId="14" fontId="15" fillId="0" borderId="5" xfId="0" applyNumberFormat="1" applyFont="1" applyFill="1" applyBorder="1" applyAlignment="1">
      <alignment horizontal="left" vertical="center"/>
    </xf>
    <xf numFmtId="0" fontId="15" fillId="0" borderId="0" xfId="0" applyFont="1" applyFill="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0" t="s">
        <v>3</v>
      </c>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2"/>
    </row>
    <row r="2" spans="1:36" ht="9.75" customHeight="1" thickBot="1">
      <c r="A2" s="463"/>
      <c r="B2" s="464"/>
      <c r="C2" s="464"/>
      <c r="D2" s="464"/>
      <c r="E2" s="464"/>
      <c r="F2" s="464"/>
      <c r="G2" s="464"/>
      <c r="H2" s="464"/>
      <c r="I2" s="464"/>
      <c r="J2" s="464"/>
      <c r="K2" s="464"/>
      <c r="L2" s="464"/>
      <c r="M2" s="464"/>
      <c r="N2" s="464"/>
      <c r="O2" s="464"/>
      <c r="P2" s="464"/>
      <c r="Q2" s="464"/>
      <c r="R2" s="465"/>
      <c r="S2" s="464"/>
      <c r="T2" s="464"/>
      <c r="U2" s="464"/>
      <c r="V2" s="464"/>
      <c r="W2" s="464"/>
      <c r="X2" s="464"/>
      <c r="Y2" s="464"/>
      <c r="Z2" s="464"/>
      <c r="AA2" s="466"/>
      <c r="AB2" s="464"/>
      <c r="AC2" s="464"/>
      <c r="AD2" s="465"/>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22762</v>
      </c>
      <c r="K284" s="24" t="str">
        <f>VLOOKUP(B284,SAOM!B$2:H1825,4,0)</f>
        <v>A agendar</v>
      </c>
      <c r="L284" s="10" t="s">
        <v>14040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VLOOKUP(D284,Monitoramento!A$2:E655,5,0)</f>
        <v>#N/A</v>
      </c>
      <c r="AH284" s="98" t="str">
        <f>VLOOKUP(B284,SAOM!B$2:S2364,18,0)</f>
        <v>10.145.32.1</v>
      </c>
      <c r="AI284" s="11" t="str">
        <f>VLOOKUP(B284,SAOM!B$2:U1942,20,0)</f>
        <v>-</v>
      </c>
      <c r="AJ284" s="15"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t="e">
        <f>VLOOKUP(D391,Faturamento!D$3:F1826,3,0)</f>
        <v>#N/A</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t="e">
        <f>VLOOKUP(D907,Monitoramento!A$2:E1278,5,0)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VLOOKUP(D1206,Monitoramento!A$2:E1577,5,0)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t="e">
        <f>VLOOKUP(D1744,Faturamento!D$3:F3179,3,0)</f>
        <v>#N/A</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t="e">
        <f>VLOOKUP(D1788,Monitoramento!A$2:E2159,5,0)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57" t="s">
        <v>22829</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57" t="s">
        <v>22830</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v>41661</v>
      </c>
      <c r="G1947" s="13">
        <f>VLOOKUP(B1947,SAOM!B$2:D3492,3,0)</f>
        <v>41661</v>
      </c>
      <c r="H1947" s="13">
        <f t="shared" si="113"/>
        <v>41676</v>
      </c>
      <c r="I1947" s="13">
        <v>41446</v>
      </c>
      <c r="J1947" s="10" t="s">
        <v>22762</v>
      </c>
      <c r="K1947" s="24" t="str">
        <f>VLOOKUP(B1947,SAOM!B$2:H3489,4,0)</f>
        <v>A agendar</v>
      </c>
      <c r="L1947" s="10" t="s">
        <v>454</v>
      </c>
      <c r="M1947" s="24" t="str">
        <f>VLOOKUP(B1947,SAOM!B$2:F3774,5,0)</f>
        <v>SH Sat</v>
      </c>
      <c r="N1947" s="11" t="s">
        <v>13720</v>
      </c>
      <c r="O1947" s="11" t="str">
        <f>VLOOKUP(N1947,Coordenadas!B$2:C2795,2,0)</f>
        <v>CENTRO</v>
      </c>
      <c r="P1947" s="11" t="str">
        <f>VLOOKUP(N1947,Coordenadas!B$2:D2795,3,0)</f>
        <v>19°03'S</v>
      </c>
      <c r="Q1947" s="11" t="str">
        <f>VLOOKUP(N1947,Coordenadas!B$2:E2795,4,0)</f>
        <v>43°25'O</v>
      </c>
      <c r="R1947" s="24">
        <v>4033</v>
      </c>
      <c r="S1947" s="13">
        <v>41653</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t="s">
        <v>22814</v>
      </c>
      <c r="AE1947" s="14" t="str">
        <f>VLOOKUP(B1947,SAOM!B$2:T3488,16,0)</f>
        <v>14/01/2014 15:24:50 	Ivan Santos 	Liberar para correção Rua Coletor Bento Silva, 7 - Rosário.
Obra Finalizada.  	Pendência Ativação Resolvida
21/06/2013 15:09:45 	Verônica Bruna Barroso 	A unidade esta em reforma.  	Pendência Ativação</v>
      </c>
      <c r="AF1947" s="14">
        <f t="shared" si="115"/>
        <v>90</v>
      </c>
      <c r="AG1947" s="14" t="e">
        <f>VLOOKUP(D1947,Monitoramento!A$2:E2318,5,0)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56" t="s">
        <v>22831</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56" t="s">
        <v>22832</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56" t="s">
        <v>22832</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55" t="s">
        <v>22824</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55" t="s">
        <v>22826</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55" t="s">
        <v>22824</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55" t="s">
        <v>22827</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55" t="s">
        <v>22825</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 t="shared" ref="F2088" si="125">E2088+45</f>
        <v>41648</v>
      </c>
      <c r="G2088" s="17">
        <f>VLOOKUP(B2088,SAOM!B$2:D3633,3,0)</f>
        <v>41648</v>
      </c>
      <c r="H2088" s="298">
        <f t="shared" ref="H2088" si="126">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56" t="s">
        <v>22828</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 t="shared" ref="F2089" si="127">E2089+45</f>
        <v>41658</v>
      </c>
      <c r="G2089" s="17">
        <f>VLOOKUP(B2089,SAOM!B$2:D3634,3,0)</f>
        <v>41658</v>
      </c>
      <c r="H2089" s="17">
        <f t="shared" ref="H2089" si="128">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22813</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22761</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50"/>
      <c r="AC2090" s="262" t="s">
        <v>455</v>
      </c>
      <c r="AD2090" s="62"/>
      <c r="AE2090" s="93" t="str">
        <f>VLOOKUP(B2090,SAOM!B$2:T3631,16,0)</f>
        <v>UBS Batireiro</v>
      </c>
      <c r="AF2090" s="93" t="s">
        <v>455</v>
      </c>
      <c r="AG2090" s="14" t="e">
        <f>VLOOKUP(D2090,Monitoramento!A$2:E2461,5,0)</f>
        <v>#N/A</v>
      </c>
      <c r="AH2090" s="263" t="str">
        <f>VLOOKUP(B2090,SAOM!B$2:S4170,18,0)</f>
        <v>10.176.6.65</v>
      </c>
      <c r="AI2090" s="31" t="str">
        <f>VLOOKUP(B2090,SAOM!B$2:U3749,20,0)</f>
        <v>-</v>
      </c>
    </row>
    <row r="2091" spans="1:35" s="491" customFormat="1">
      <c r="A2091" s="477">
        <v>8782</v>
      </c>
      <c r="B2091" s="478">
        <v>8782</v>
      </c>
      <c r="C2091" s="478">
        <v>8782</v>
      </c>
      <c r="D2091" s="478" t="str">
        <f>VLOOKUP(B2091,SAOM!B$2:H3749,7,0)</f>
        <v>-</v>
      </c>
      <c r="E2091" s="479">
        <v>41631</v>
      </c>
      <c r="F2091" s="479">
        <f t="shared" si="129"/>
        <v>41676</v>
      </c>
      <c r="G2091" s="479">
        <f>VLOOKUP(B2091,SAOM!B$2:D3636,3,0)</f>
        <v>41676</v>
      </c>
      <c r="H2091" s="479">
        <f t="shared" si="130"/>
        <v>41691</v>
      </c>
      <c r="I2091" s="479" t="s">
        <v>455</v>
      </c>
      <c r="J2091" s="480" t="s">
        <v>22721</v>
      </c>
      <c r="K2091" s="478" t="str">
        <f>VLOOKUP(B2091,SAOM!B$2:H3633,4,0)</f>
        <v>A agendar</v>
      </c>
      <c r="L2091" s="480" t="s">
        <v>14040</v>
      </c>
      <c r="M2091" s="478" t="str">
        <f>VLOOKUP(B2091,SAOM!B$2:F3918,5,0)</f>
        <v>SH Sat</v>
      </c>
      <c r="N2091" s="481" t="s">
        <v>13715</v>
      </c>
      <c r="O2091" s="199" t="str">
        <f>VLOOKUP(N2091,Coordenadas!B$2:C2939,2,0)</f>
        <v>JEQUITINHONHA</v>
      </c>
      <c r="P2091" s="199" t="str">
        <f>VLOOKUP(N2091,Coordenadas!B$2:D2939,3,0)</f>
        <v>17°05'S</v>
      </c>
      <c r="Q2091" s="199" t="str">
        <f>VLOOKUP(N2091,Coordenadas!B$2:E2939,4,0)</f>
        <v>42°32'O</v>
      </c>
      <c r="R2091" s="482">
        <v>4033</v>
      </c>
      <c r="S2091" s="479">
        <v>41628</v>
      </c>
      <c r="T2091" s="483" t="str">
        <f>VLOOKUP(B2091,SAOM!B$2:M3633,9,0)</f>
        <v>Rosangela Cordeiro</v>
      </c>
      <c r="U2091" s="479" t="str">
        <f>VLOOKUP(B2091,SAOM!B$2:N3633,10,0)</f>
        <v>Rua Tancredo Neves, s/n - UBS Chapada do Norte - São Geraldo</v>
      </c>
      <c r="V2091" s="483" t="str">
        <f>VLOOKUP(B2091,SAOM!B$2:P3633,12,0)</f>
        <v>33 8829 2220</v>
      </c>
      <c r="W2091" s="483" t="str">
        <f>VLOOKUP(B2091,SAOM!B$2:O3633,11,0)</f>
        <v>39648-000</v>
      </c>
      <c r="X2091" s="478" t="str">
        <f>VLOOKUP(B2091,SAOM!B$2:Q3633,13,0)</f>
        <v>-</v>
      </c>
      <c r="Y2091" s="479">
        <v>41659</v>
      </c>
      <c r="Z2091" s="484" t="s">
        <v>12017</v>
      </c>
      <c r="AA2091" s="485"/>
      <c r="AB2091" s="486"/>
      <c r="AC2091" s="487" t="s">
        <v>455</v>
      </c>
      <c r="AD2091" s="488"/>
      <c r="AE2091" s="485" t="str">
        <f>VLOOKUP(B2091,SAOM!B$2:T3632,16,0)</f>
        <v xml:space="preserve">UBS Chapada do Norte </v>
      </c>
      <c r="AF2091" s="485" t="s">
        <v>455</v>
      </c>
      <c r="AG2091" s="489" t="e">
        <f>VLOOKUP(D2091,Monitoramento!A$2:E2462,5,0)</f>
        <v>#N/A</v>
      </c>
      <c r="AH2091" s="490" t="str">
        <f>VLOOKUP(B2091,SAOM!B$2:S4171,18,0)</f>
        <v>10.176.6.129</v>
      </c>
      <c r="AI2091" s="199"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22761</v>
      </c>
      <c r="K2092" s="22" t="str">
        <f>VLOOKUP(B2092,SAOM!B$2:H3634,4,0)</f>
        <v>A agendar</v>
      </c>
      <c r="L2092" s="39" t="s">
        <v>14040</v>
      </c>
      <c r="M2092" s="22" t="str">
        <f>VLOOKUP(B2092,SAOM!B$2:F3919,5,0)</f>
        <v>SH Sat</v>
      </c>
      <c r="N2092" s="300" t="s">
        <v>13715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50"/>
      <c r="AC2092" s="262" t="s">
        <v>455</v>
      </c>
      <c r="AD2092" s="62"/>
      <c r="AE2092" s="93" t="str">
        <f>VLOOKUP(B2092,SAOM!B$2:T3633,16,0)</f>
        <v xml:space="preserve">UBS Granjas do Norte </v>
      </c>
      <c r="AF2092" s="93" t="s">
        <v>455</v>
      </c>
      <c r="AG2092" s="14"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22761</v>
      </c>
      <c r="K2093" s="22" t="str">
        <f>VLOOKUP(B2093,SAOM!B$2:H3635,4,0)</f>
        <v>A agendar</v>
      </c>
      <c r="L2093" s="39" t="s">
        <v>14040</v>
      </c>
      <c r="M2093" s="22" t="str">
        <f>VLOOKUP(B2093,SAOM!B$2:F3920,5,0)</f>
        <v>SH Sat</v>
      </c>
      <c r="N2093" s="300" t="s">
        <v>13715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50"/>
      <c r="AC2093" s="262" t="s">
        <v>455</v>
      </c>
      <c r="AD2093" s="62"/>
      <c r="AE2093" s="93" t="str">
        <f>VLOOKUP(B2093,SAOM!B$2:T3634,16,0)</f>
        <v xml:space="preserve">UBS Santa Rita do Araç </v>
      </c>
      <c r="AF2093" s="93" t="s">
        <v>455</v>
      </c>
      <c r="AG2093" s="14" t="e">
        <f>VLOOKUP(D2093,Monitoramento!A$2:E2464,5,0)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22761</v>
      </c>
      <c r="K2094" s="22" t="str">
        <f>VLOOKUP(B2094,SAOM!B$2:H3636,4,0)</f>
        <v>A agendar</v>
      </c>
      <c r="L2094" s="39" t="s">
        <v>14040</v>
      </c>
      <c r="M2094" s="22" t="str">
        <f>VLOOKUP(B2094,SAOM!B$2:F3921,5,0)</f>
        <v>SH Sat</v>
      </c>
      <c r="N2094" s="300" t="s">
        <v>13715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50"/>
      <c r="AC2094" s="262" t="s">
        <v>455</v>
      </c>
      <c r="AD2094" s="62"/>
      <c r="AE2094" s="93" t="str">
        <f>VLOOKUP(B2094,SAOM!B$2:T3635,16,0)</f>
        <v xml:space="preserve">UBS São Sebastião da Boa Vista </v>
      </c>
      <c r="AF2094" s="93" t="s">
        <v>455</v>
      </c>
      <c r="AG2094" s="14" t="e">
        <f>VLOOKUP(D2094,Monitoramento!A$2:E2465,5,0)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22761</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50"/>
      <c r="AC2095" s="262" t="s">
        <v>455</v>
      </c>
      <c r="AD2095" s="62"/>
      <c r="AE2095" s="93" t="str">
        <f>VLOOKUP(B2095,SAOM!B$2:T3636,16,0)</f>
        <v xml:space="preserve">UBS São João </v>
      </c>
      <c r="AF2095" s="93" t="s">
        <v>455</v>
      </c>
      <c r="AG2095" s="14" t="e">
        <f>VLOOKUP(D2095,Monitoramento!A$2:E2466,5,0)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22761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50"/>
      <c r="AC2096" s="262" t="s">
        <v>455</v>
      </c>
      <c r="AD2096" s="62"/>
      <c r="AE2096" s="93" t="str">
        <f>VLOOKUP(B2096,SAOM!B$2:T3637,16,0)</f>
        <v xml:space="preserve">CS de Chapada do Norte </v>
      </c>
      <c r="AF2096" s="93" t="s">
        <v>455</v>
      </c>
      <c r="AG2096" s="14" t="e">
        <f>VLOOKUP(D2096,Monitoramento!A$2:E2467,5,0)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D611" activePane="bottomRight" state="frozen"/>
      <selection pane="topRight" activeCell="B1" sqref="B1"/>
      <selection pane="bottomLeft" activeCell="A3" sqref="A3"/>
      <selection pane="bottomRight" activeCell="D622" sqref="D622"/>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6" t="s">
        <v>4083</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6" t="s">
        <v>4083</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6" t="s">
        <v>4083</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6" t="s">
        <v>4083</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6" t="s">
        <v>4083</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6" t="s">
        <v>4083</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6" t="s">
        <v>4083</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6" t="s">
        <v>4083</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6" t="s">
        <v>4083</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6" t="s">
        <v>4083</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6" t="s">
        <v>4083</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6" t="s">
        <v>4083</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t="s">
        <v>4083</v>
      </c>
      <c r="N128" s="16" t="s">
        <v>4083</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6" t="s">
        <v>4083</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6" t="s">
        <v>4083</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4083</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4083</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4083</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4083</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4083</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6" t="s">
        <v>4083</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6" t="s">
        <v>4083</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6" t="s">
        <v>4083</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6" t="s">
        <v>4083</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6" t="s">
        <v>4083</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6" t="s">
        <v>4083</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6" t="s">
        <v>4083</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6" t="s">
        <v>4083</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6" t="s">
        <v>4083</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6" t="s">
        <v>4083</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6" t="s">
        <v>4083</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4"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22823</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
        <v>4083</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v>41655</v>
      </c>
      <c r="K598" s="38" t="s">
        <v>15873</v>
      </c>
      <c r="L598" s="99" t="s">
        <v>8947</v>
      </c>
      <c r="M598" s="99" t="s">
        <v>22845</v>
      </c>
      <c r="N598" s="16" t="s">
        <v>4083</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22815</v>
      </c>
      <c r="N599" s="16" t="s">
        <v>4083</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4"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4"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v>41656</v>
      </c>
      <c r="K602" s="38" t="s">
        <v>8473</v>
      </c>
      <c r="L602" s="99" t="s">
        <v>22778</v>
      </c>
      <c r="M602" s="99" t="s">
        <v>22843</v>
      </c>
      <c r="N602" s="16" t="s">
        <v>4083</v>
      </c>
    </row>
    <row r="603" spans="1:14"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c r="K603" s="452" t="s">
        <v>8473</v>
      </c>
      <c r="L603" s="99" t="s">
        <v>22779</v>
      </c>
      <c r="M603" s="99" t="s">
        <v>4083</v>
      </c>
      <c r="N603" s="16" t="s">
        <v>4083</v>
      </c>
    </row>
    <row r="604" spans="1:14"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c r="K604" s="452" t="s">
        <v>8473</v>
      </c>
      <c r="L604" s="99" t="s">
        <v>8947</v>
      </c>
      <c r="M604" s="99" t="s">
        <v>4083</v>
      </c>
      <c r="N604" s="16" t="s">
        <v>4083</v>
      </c>
    </row>
    <row r="605" spans="1:14"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452" t="s">
        <v>8473</v>
      </c>
      <c r="L605" s="99" t="s">
        <v>22781</v>
      </c>
      <c r="M605" s="99" t="s">
        <v>4083</v>
      </c>
      <c r="N605" s="16" t="s">
        <v>4083</v>
      </c>
    </row>
    <row r="606" spans="1:14"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v>41656</v>
      </c>
      <c r="K606" s="38" t="s">
        <v>8473</v>
      </c>
      <c r="L606" s="99" t="s">
        <v>22782</v>
      </c>
      <c r="M606" s="99" t="s">
        <v>22842</v>
      </c>
      <c r="N606" s="16" t="s">
        <v>4083</v>
      </c>
    </row>
    <row r="607" spans="1:14"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v>41656</v>
      </c>
      <c r="K607" s="38" t="s">
        <v>8473</v>
      </c>
      <c r="L607" s="99" t="s">
        <v>8947</v>
      </c>
      <c r="M607" s="99" t="s">
        <v>22841</v>
      </c>
      <c r="N607" s="16" t="s">
        <v>4083</v>
      </c>
    </row>
    <row r="608" spans="1:14"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38" t="s">
        <v>613</v>
      </c>
      <c r="L608" s="369" t="s">
        <v>22786</v>
      </c>
      <c r="M608" s="99" t="s">
        <v>4083</v>
      </c>
      <c r="N608" s="16" t="s">
        <v>4083</v>
      </c>
    </row>
    <row r="609" spans="1:14"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v>41656</v>
      </c>
      <c r="K609" s="38" t="s">
        <v>8473</v>
      </c>
      <c r="L609" s="99" t="s">
        <v>15274</v>
      </c>
      <c r="M609" s="369" t="s">
        <v>22839</v>
      </c>
      <c r="N609" s="16" t="s">
        <v>22840</v>
      </c>
    </row>
    <row r="610" spans="1:14"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22787</v>
      </c>
      <c r="L610" s="99" t="s">
        <v>15275</v>
      </c>
      <c r="M610" s="99" t="s">
        <v>4083</v>
      </c>
      <c r="N610" s="16" t="s">
        <v>4083</v>
      </c>
    </row>
    <row r="611" spans="1:14"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v>41655</v>
      </c>
      <c r="K611" s="38" t="s">
        <v>22787</v>
      </c>
      <c r="L611" s="99" t="s">
        <v>15275</v>
      </c>
      <c r="M611" s="99" t="s">
        <v>13575</v>
      </c>
      <c r="N611" s="16" t="s">
        <v>4083</v>
      </c>
    </row>
    <row r="612" spans="1:14"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row>
    <row r="613" spans="1:14"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c r="K613" s="452" t="s">
        <v>8473</v>
      </c>
      <c r="L613" s="99" t="s">
        <v>8947</v>
      </c>
      <c r="M613" s="99" t="s">
        <v>4083</v>
      </c>
      <c r="N613" s="16" t="s">
        <v>4083</v>
      </c>
    </row>
    <row r="614" spans="1:14"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38" t="s">
        <v>8473</v>
      </c>
      <c r="L614" s="99" t="s">
        <v>22812</v>
      </c>
      <c r="M614" s="99" t="s">
        <v>4083</v>
      </c>
      <c r="N614" s="16" t="s">
        <v>4083</v>
      </c>
    </row>
    <row r="615" spans="1:14"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22816</v>
      </c>
      <c r="M615" s="99" t="s">
        <v>4083</v>
      </c>
      <c r="N615" s="16" t="s">
        <v>4083</v>
      </c>
    </row>
    <row r="616" spans="1:14"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22817</v>
      </c>
      <c r="M616" s="99" t="s">
        <v>4083</v>
      </c>
      <c r="N616" s="16" t="s">
        <v>4083</v>
      </c>
    </row>
    <row r="617" spans="1:14" s="16" customFormat="1" ht="15.75" customHeight="1">
      <c r="A617" s="22">
        <v>5162</v>
      </c>
      <c r="B617" s="24" t="str">
        <f>VLOOKUP(A617,VODANET!C$5:D2705,2,0)</f>
        <v>SES-PEDO-5162</v>
      </c>
      <c r="C617" s="24" t="str">
        <f>VLOOKUP(A617,VODANET!C$5:L2705,10,0)</f>
        <v>LIDER</v>
      </c>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22818</v>
      </c>
      <c r="M617" s="99" t="s">
        <v>4083</v>
      </c>
      <c r="N617" s="16" t="s">
        <v>4083</v>
      </c>
    </row>
    <row r="618" spans="1:14" s="16" customFormat="1" ht="15.75" customHeight="1">
      <c r="A618" s="22">
        <v>5165</v>
      </c>
      <c r="B618" s="24" t="str">
        <f>VLOOKUP(A618,VODANET!C$5:D2706,2,0)</f>
        <v>SES-PEDO-5165</v>
      </c>
      <c r="C618" s="24" t="str">
        <f>VLOOKUP(A618,VODANET!C$5:L2706,10,0)</f>
        <v>LIDER</v>
      </c>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22819</v>
      </c>
      <c r="M618" s="99" t="s">
        <v>4083</v>
      </c>
      <c r="N618" s="16" t="s">
        <v>4083</v>
      </c>
    </row>
    <row r="619" spans="1:14" s="16" customFormat="1" ht="15.75" customHeight="1">
      <c r="A619" s="22">
        <v>6081</v>
      </c>
      <c r="B619" s="24" t="str">
        <f>VLOOKUP(A619,VODANET!C$5:D2707,2,0)</f>
        <v>SES-LATA-6081</v>
      </c>
      <c r="C619" s="24" t="str">
        <f>VLOOKUP(A619,VODANET!C$5:L2707,10,0)</f>
        <v>LIDER</v>
      </c>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22820</v>
      </c>
      <c r="M619" s="99" t="s">
        <v>4083</v>
      </c>
      <c r="N619" s="16" t="s">
        <v>4083</v>
      </c>
    </row>
    <row r="620" spans="1:14" s="16" customFormat="1" ht="15.75" customHeight="1">
      <c r="A620" s="22">
        <v>4133</v>
      </c>
      <c r="B620" s="24" t="str">
        <f>VLOOKUP(A620,VODANET!C$5:D2708,2,0)</f>
        <v>SES-PIUI-4133</v>
      </c>
      <c r="C620" s="24" t="str">
        <f>VLOOKUP(A620,VODANET!C$5:L2708,10,0)</f>
        <v>LIDER</v>
      </c>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22821</v>
      </c>
      <c r="M620" s="99" t="s">
        <v>4083</v>
      </c>
      <c r="N620" s="16" t="s">
        <v>4083</v>
      </c>
    </row>
    <row r="621" spans="1:14" s="16" customFormat="1" ht="15.75" customHeight="1">
      <c r="A621" s="22">
        <v>5075</v>
      </c>
      <c r="B621" s="24" t="str">
        <f>VLOOKUP(A621,VODANET!C$5:D2709,2,0)</f>
        <v>SES-RIHO-5075</v>
      </c>
      <c r="C621" s="24" t="str">
        <f>VLOOKUP(A621,VODANET!C$5:L2709,10,0)</f>
        <v>LIDER</v>
      </c>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22822</v>
      </c>
      <c r="M621" s="99" t="s">
        <v>4083</v>
      </c>
      <c r="N621" s="16" t="s">
        <v>4083</v>
      </c>
    </row>
    <row r="622" spans="1:14" s="16" customFormat="1" ht="15.75" customHeight="1">
      <c r="A622" s="22">
        <v>4597</v>
      </c>
      <c r="B622" s="24" t="str">
        <f>VLOOKUP(A622,VODANET!C$5:D2710,2,0)</f>
        <v>SES-MAAC-4597</v>
      </c>
      <c r="C622" s="24" t="str">
        <f>VLOOKUP(A622,VODANET!C$5:L2710,10,0)</f>
        <v>LIDER</v>
      </c>
      <c r="D622" s="11" t="str">
        <f>VLOOKUP(A622,VODANET!C$5:N2710,12,0)</f>
        <v>MARILAC</v>
      </c>
      <c r="E622" s="376" t="str">
        <f>VLOOKUP(A622,VODANET!C$5:O2706,13,0)</f>
        <v>LESTE</v>
      </c>
      <c r="F622" s="376" t="str">
        <f>VLOOKUP(A622,Anatel!A$3:R3625,18,0)</f>
        <v>ok</v>
      </c>
      <c r="G622" s="376"/>
      <c r="H622" s="14">
        <f>VLOOKUP(A622,VODANET!C$5:AG2710,31,0)</f>
        <v>41418</v>
      </c>
      <c r="I622" s="14">
        <v>41654</v>
      </c>
      <c r="J622" s="14"/>
      <c r="K622" s="392" t="s">
        <v>22787</v>
      </c>
      <c r="L622" s="99" t="s">
        <v>22837</v>
      </c>
      <c r="M622" s="99" t="s">
        <v>4083</v>
      </c>
      <c r="N622" s="16" t="s">
        <v>4083</v>
      </c>
    </row>
    <row r="623" spans="1:14" s="16" customFormat="1" ht="15.75" customHeight="1">
      <c r="A623" s="22">
        <v>2694</v>
      </c>
      <c r="B623" s="24" t="str">
        <f>VLOOKUP(A623,VODANET!C$5:D2711,2,0)</f>
        <v>SES-META-0728</v>
      </c>
      <c r="C623" s="24" t="str">
        <f>VLOOKUP(A623,VODANET!C$5:L2711,10,0)</f>
        <v>LIDER</v>
      </c>
      <c r="D623" s="11" t="str">
        <f>VLOOKUP(A623,VODANET!C$5:N2711,12,0)</f>
        <v>MESQUITA</v>
      </c>
      <c r="E623" s="376" t="str">
        <f>VLOOKUP(A623,VODANET!C$5:O2707,13,0)</f>
        <v>LESTE</v>
      </c>
      <c r="F623" s="376" t="str">
        <f>VLOOKUP(A623,Anatel!A$3:R3626,18,0)</f>
        <v>SAOM</v>
      </c>
      <c r="G623" s="376"/>
      <c r="H623" s="14">
        <f>VLOOKUP(A623,VODANET!C$5:AG2711,31,0)</f>
        <v>41474</v>
      </c>
      <c r="I623" s="14">
        <v>41656</v>
      </c>
      <c r="J623" s="14"/>
      <c r="K623" s="38" t="s">
        <v>613</v>
      </c>
      <c r="L623" s="99" t="s">
        <v>22838</v>
      </c>
      <c r="M623" s="99" t="s">
        <v>4083</v>
      </c>
      <c r="N623" s="16" t="s">
        <v>4083</v>
      </c>
    </row>
    <row r="624" spans="1:14" s="16" customFormat="1" ht="15.75" customHeight="1">
      <c r="A624" s="22">
        <v>3359</v>
      </c>
      <c r="B624" s="24" t="str">
        <f>VLOOKUP(A624,VODANET!C$5:D2712,2,0)</f>
        <v>SES-BEIS-3359</v>
      </c>
      <c r="C624" s="24" t="str">
        <f>VLOOKUP(A624,VODANET!C$5:L2712,10,0)</f>
        <v>LIDER</v>
      </c>
      <c r="D624" s="11" t="str">
        <f>VLOOKUP(A624,VODANET!C$5:N2712,12,0)</f>
        <v>BERTÓPOLIS</v>
      </c>
      <c r="E624" s="376" t="str">
        <f>VLOOKUP(A624,VODANET!C$5:O2708,13,0)</f>
        <v>NORDESTE</v>
      </c>
      <c r="F624" s="376" t="str">
        <f>VLOOKUP(A624,Anatel!A$3:R3627,18,0)</f>
        <v>SAOM</v>
      </c>
      <c r="G624" s="376"/>
      <c r="H624" s="14" t="e">
        <f>VLOOKUP(A624,VODANET!C$5:AG2712,31,0)</f>
        <v>#N/A</v>
      </c>
      <c r="I624" s="14">
        <v>41649</v>
      </c>
      <c r="J624" s="14">
        <v>41655</v>
      </c>
      <c r="K624" s="38" t="s">
        <v>15873</v>
      </c>
      <c r="L624" s="99" t="s">
        <v>15275</v>
      </c>
      <c r="M624" s="99" t="s">
        <v>22844</v>
      </c>
      <c r="N624" s="16" t="s">
        <v>4083</v>
      </c>
    </row>
    <row r="625" spans="1:14" s="16" customFormat="1" ht="15.75" customHeight="1">
      <c r="A625" s="22">
        <v>3966</v>
      </c>
      <c r="B625" s="24" t="str">
        <f>VLOOKUP(A625,VODANET!C$5:D2713,2,0)</f>
        <v>SES-PAOS-3966</v>
      </c>
      <c r="C625" s="24" t="str">
        <f>VLOOKUP(A625,VODANET!C$5:L2713,10,0)</f>
        <v>LIDER</v>
      </c>
      <c r="D625" s="11" t="str">
        <f>VLOOKUP(A625,VODANET!C$5:N2713,12,0)</f>
        <v>PAPAGAIOS</v>
      </c>
      <c r="E625" s="376" t="str">
        <f>VLOOKUP(A625,VODANET!C$5:O2709,13,0)</f>
        <v>CENTRO</v>
      </c>
      <c r="F625" s="376" t="str">
        <f>VLOOKUP(A625,Anatel!A$3:R3628,18,0)</f>
        <v>SAOM</v>
      </c>
      <c r="G625" s="376"/>
      <c r="H625" s="14">
        <f>VLOOKUP(A625,VODANET!C$5:AG2713,31,0)</f>
        <v>41537</v>
      </c>
      <c r="I625" s="14">
        <v>41655</v>
      </c>
      <c r="J625" s="14"/>
      <c r="K625" s="38" t="s">
        <v>613</v>
      </c>
      <c r="L625" s="99" t="s">
        <v>22846</v>
      </c>
      <c r="M625" s="99" t="s">
        <v>4083</v>
      </c>
      <c r="N625" s="16" t="s">
        <v>4083</v>
      </c>
    </row>
    <row r="626" spans="1:14" s="16" customFormat="1" ht="15.75" customHeight="1">
      <c r="A626" s="22">
        <v>5235</v>
      </c>
      <c r="B626" s="24" t="str">
        <f>VLOOKUP(A626,VODANET!C$5:D2714,2,0)</f>
        <v>SES-POTE-5235</v>
      </c>
      <c r="C626" s="24" t="str">
        <f>VLOOKUP(A626,VODANET!C$5:L2714,10,0)</f>
        <v>SH SAT</v>
      </c>
      <c r="D626" s="11" t="str">
        <f>VLOOKUP(A626,VODANET!C$5:N2714,12,0)</f>
        <v>POTÉ</v>
      </c>
      <c r="E626" s="376" t="str">
        <f>VLOOKUP(A626,VODANET!C$5:O2710,13,0)</f>
        <v>NORDESTE</v>
      </c>
      <c r="F626" s="376">
        <f>VLOOKUP(A626,Anatel!A$3:R3629,18,0)</f>
        <v>0</v>
      </c>
      <c r="G626" s="376"/>
      <c r="H626" s="14" t="e">
        <f>VLOOKUP(A626,VODANET!C$5:AG2714,31,0)</f>
        <v>#N/A</v>
      </c>
      <c r="I626" s="14">
        <v>41654</v>
      </c>
      <c r="J626" s="14"/>
      <c r="K626" s="392" t="s">
        <v>22787</v>
      </c>
      <c r="L626" s="99" t="s">
        <v>15275</v>
      </c>
      <c r="M626" s="99" t="s">
        <v>4083</v>
      </c>
      <c r="N626" s="16" t="s">
        <v>4083</v>
      </c>
    </row>
    <row r="627" spans="1:14" s="16" customFormat="1" ht="15.75" customHeight="1">
      <c r="A627" s="22">
        <v>5236</v>
      </c>
      <c r="B627" s="24" t="str">
        <f>VLOOKUP(A627,VODANET!C$5:D2715,2,0)</f>
        <v>SES-POTE-5236</v>
      </c>
      <c r="C627" s="24" t="str">
        <f>VLOOKUP(A627,VODANET!C$5:L2715,10,0)</f>
        <v>SH SAT</v>
      </c>
      <c r="D627" s="11" t="str">
        <f>VLOOKUP(A627,VODANET!C$5:N2715,12,0)</f>
        <v>POTÉ</v>
      </c>
      <c r="E627" s="376" t="str">
        <f>VLOOKUP(A627,VODANET!C$5:O2711,13,0)</f>
        <v>NORDESTE</v>
      </c>
      <c r="F627" s="376">
        <f>VLOOKUP(A627,Anatel!A$3:R3630,18,0)</f>
        <v>0</v>
      </c>
      <c r="G627" s="376"/>
      <c r="H627" s="14" t="e">
        <f>VLOOKUP(A627,VODANET!C$5:AG2715,31,0)</f>
        <v>#N/A</v>
      </c>
      <c r="I627" s="14">
        <v>41654</v>
      </c>
      <c r="J627" s="14"/>
      <c r="K627" s="392" t="s">
        <v>22787</v>
      </c>
      <c r="L627" s="99" t="s">
        <v>15275</v>
      </c>
      <c r="M627" s="99" t="s">
        <v>4083</v>
      </c>
      <c r="N627" s="16" t="s">
        <v>4083</v>
      </c>
    </row>
    <row r="628" spans="1:14" s="16" customFormat="1" ht="15.75" customHeight="1">
      <c r="A628" s="22">
        <v>5239</v>
      </c>
      <c r="B628" s="24" t="str">
        <f>VLOOKUP(A628,VODANET!C$5:D2716,2,0)</f>
        <v>SES-POTE-5239</v>
      </c>
      <c r="C628" s="24" t="str">
        <f>VLOOKUP(A628,VODANET!C$5:L2716,10,0)</f>
        <v>SH SAT</v>
      </c>
      <c r="D628" s="11" t="str">
        <f>VLOOKUP(A628,VODANET!C$5:N2716,12,0)</f>
        <v>POTÉ</v>
      </c>
      <c r="E628" s="376" t="str">
        <f>VLOOKUP(A628,VODANET!C$5:O2712,13,0)</f>
        <v>NORDESTE</v>
      </c>
      <c r="F628" s="376">
        <f>VLOOKUP(A628,Anatel!A$3:R3631,18,0)</f>
        <v>0</v>
      </c>
      <c r="G628" s="376"/>
      <c r="H628" s="14" t="e">
        <f>VLOOKUP(A628,VODANET!C$5:AG2716,31,0)</f>
        <v>#N/A</v>
      </c>
      <c r="I628" s="14">
        <v>41654</v>
      </c>
      <c r="J628" s="14"/>
      <c r="K628" s="392" t="s">
        <v>22787</v>
      </c>
      <c r="L628" s="99" t="s">
        <v>15275</v>
      </c>
      <c r="M628" s="99" t="s">
        <v>4083</v>
      </c>
      <c r="N628" s="16" t="s">
        <v>4083</v>
      </c>
    </row>
    <row r="629" spans="1:14" s="16" customFormat="1" ht="15.75" customHeight="1">
      <c r="A629" s="22">
        <v>4099</v>
      </c>
      <c r="B629" s="24" t="str">
        <f>VLOOKUP(A629,VODANET!C$5:D2717,2,0)</f>
        <v>SES-GUBA-4099</v>
      </c>
      <c r="C629" s="24" t="str">
        <f>VLOOKUP(A629,VODANET!C$5:L2717,10,0)</f>
        <v>LIDER</v>
      </c>
      <c r="D629" s="11" t="str">
        <f>VLOOKUP(A629,VODANET!C$5:N2717,12,0)</f>
        <v>GUARACIABA</v>
      </c>
      <c r="E629" s="376" t="str">
        <f>VLOOKUP(A629,VODANET!C$5:O2713,13,0)</f>
        <v>LESTE DO SUL</v>
      </c>
      <c r="F629" s="376">
        <f>VLOOKUP(A629,Anatel!A$3:R3632,18,0)</f>
        <v>0</v>
      </c>
      <c r="G629" s="376"/>
      <c r="H629" s="14" t="e">
        <f>VLOOKUP(A629,VODANET!C$5:AG2717,31,0)</f>
        <v>#N/A</v>
      </c>
      <c r="I629" s="14">
        <v>41649</v>
      </c>
      <c r="J629" s="14">
        <v>41656</v>
      </c>
      <c r="K629" s="38" t="s">
        <v>22787</v>
      </c>
      <c r="L629" s="99" t="s">
        <v>17762</v>
      </c>
      <c r="M629" s="99" t="s">
        <v>22847</v>
      </c>
      <c r="N629" s="16" t="s">
        <v>4083</v>
      </c>
    </row>
    <row r="630" spans="1:14" s="16" customFormat="1" ht="15.75" customHeight="1">
      <c r="A630" s="22"/>
      <c r="B630" s="24" t="e">
        <f>VLOOKUP(A630,VODANET!C$5:D2718,2,0)</f>
        <v>#N/A</v>
      </c>
      <c r="C630" s="24" t="e">
        <f>VLOOKUP(A630,VODANET!C$5:L2718,10,0)</f>
        <v>#N/A</v>
      </c>
      <c r="D630" s="11" t="e">
        <f>VLOOKUP(A630,VODANET!C$5:N2718,12,0)</f>
        <v>#N/A</v>
      </c>
      <c r="E630" s="376" t="e">
        <f>VLOOKUP(A630,VODANET!C$5:O2714,13,0)</f>
        <v>#N/A</v>
      </c>
      <c r="F630" s="376" t="e">
        <f>VLOOKUP(A630,Anatel!A$3:R3633,18,0)</f>
        <v>#N/A</v>
      </c>
      <c r="G630" s="376"/>
      <c r="H630" s="14" t="e">
        <f>VLOOKUP(A630,VODANET!C$5:AG2718,31,0)</f>
        <v>#N/A</v>
      </c>
      <c r="I630" s="14"/>
      <c r="J630" s="14"/>
      <c r="K630" s="38"/>
      <c r="L630" s="99"/>
      <c r="M630" s="99" t="s">
        <v>4083</v>
      </c>
      <c r="N630" s="16" t="s">
        <v>4083</v>
      </c>
    </row>
    <row r="631" spans="1:14" s="16" customFormat="1" ht="15.75" customHeight="1">
      <c r="A631" s="22"/>
      <c r="B631" s="24" t="e">
        <f>VLOOKUP(A631,VODANET!C$5:D2719,2,0)</f>
        <v>#N/A</v>
      </c>
      <c r="C631" s="24" t="e">
        <f>VLOOKUP(A631,VODANET!C$5:L2719,10,0)</f>
        <v>#N/A</v>
      </c>
      <c r="D631" s="11" t="e">
        <f>VLOOKUP(A631,VODANET!C$5:N2719,12,0)</f>
        <v>#N/A</v>
      </c>
      <c r="E631" s="376" t="e">
        <f>VLOOKUP(A631,VODANET!C$5:O2715,13,0)</f>
        <v>#N/A</v>
      </c>
      <c r="F631" s="376" t="e">
        <f>VLOOKUP(A631,Anatel!A$3:R3634,18,0)</f>
        <v>#N/A</v>
      </c>
      <c r="G631" s="376"/>
      <c r="H631" s="14" t="e">
        <f>VLOOKUP(A631,VODANET!C$5:AG2719,31,0)</f>
        <v>#N/A</v>
      </c>
      <c r="I631" s="14"/>
      <c r="J631" s="14"/>
      <c r="K631" s="38"/>
      <c r="L631" s="99"/>
      <c r="M631" s="99" t="s">
        <v>4083</v>
      </c>
      <c r="N631" s="16" t="s">
        <v>4083</v>
      </c>
    </row>
    <row r="632" spans="1:14" s="16" customFormat="1" ht="15.75" customHeight="1">
      <c r="A632" s="22"/>
      <c r="B632" s="24" t="e">
        <f>VLOOKUP(A632,VODANET!C$5:D2720,2,0)</f>
        <v>#N/A</v>
      </c>
      <c r="C632" s="24" t="e">
        <f>VLOOKUP(A632,VODANET!C$5:L2720,10,0)</f>
        <v>#N/A</v>
      </c>
      <c r="D632" s="11" t="e">
        <f>VLOOKUP(A632,VODANET!C$5:N2720,12,0)</f>
        <v>#N/A</v>
      </c>
      <c r="E632" s="376" t="e">
        <f>VLOOKUP(A632,VODANET!C$5:O2716,13,0)</f>
        <v>#N/A</v>
      </c>
      <c r="F632" s="376" t="e">
        <f>VLOOKUP(A632,Anatel!A$3:R3635,18,0)</f>
        <v>#N/A</v>
      </c>
      <c r="G632" s="376"/>
      <c r="H632" s="14" t="e">
        <f>VLOOKUP(A632,VODANET!C$5:AG2720,31,0)</f>
        <v>#N/A</v>
      </c>
      <c r="I632" s="14"/>
      <c r="J632" s="14"/>
      <c r="K632" s="38"/>
      <c r="L632" s="99"/>
      <c r="M632" s="99" t="s">
        <v>4083</v>
      </c>
      <c r="N632" s="16" t="s">
        <v>4083</v>
      </c>
    </row>
    <row r="633" spans="1:14" s="16" customFormat="1" ht="15.75" customHeight="1">
      <c r="A633" s="22"/>
      <c r="B633" s="24" t="e">
        <f>VLOOKUP(A633,VODANET!C$5:D2721,2,0)</f>
        <v>#N/A</v>
      </c>
      <c r="C633" s="24" t="e">
        <f>VLOOKUP(A633,VODANET!C$5:L2721,10,0)</f>
        <v>#N/A</v>
      </c>
      <c r="D633" s="11" t="e">
        <f>VLOOKUP(A633,VODANET!C$5:N2721,12,0)</f>
        <v>#N/A</v>
      </c>
      <c r="E633" s="376" t="e">
        <f>VLOOKUP(A633,VODANET!C$5:O2717,13,0)</f>
        <v>#N/A</v>
      </c>
      <c r="F633" s="376" t="e">
        <f>VLOOKUP(A633,Anatel!A$3:R3636,18,0)</f>
        <v>#N/A</v>
      </c>
      <c r="G633" s="376"/>
      <c r="H633" s="14" t="e">
        <f>VLOOKUP(A633,VODANET!C$5:AG2721,31,0)</f>
        <v>#N/A</v>
      </c>
      <c r="I633" s="14"/>
      <c r="J633" s="14"/>
      <c r="K633" s="38"/>
      <c r="L633" s="99"/>
      <c r="M633" s="99" t="s">
        <v>4083</v>
      </c>
      <c r="N633" s="16" t="s">
        <v>4083</v>
      </c>
    </row>
    <row r="634" spans="1:14" s="16" customFormat="1" ht="15.75" customHeight="1">
      <c r="A634" s="22"/>
      <c r="B634" s="24" t="e">
        <f>VLOOKUP(A634,VODANET!C$5:D2722,2,0)</f>
        <v>#N/A</v>
      </c>
      <c r="C634" s="24" t="e">
        <f>VLOOKUP(A634,VODANET!C$5:L2722,10,0)</f>
        <v>#N/A</v>
      </c>
      <c r="D634" s="11" t="e">
        <f>VLOOKUP(A634,VODANET!C$5:N2722,12,0)</f>
        <v>#N/A</v>
      </c>
      <c r="E634" s="376" t="e">
        <f>VLOOKUP(A634,VODANET!C$5:O2718,13,0)</f>
        <v>#N/A</v>
      </c>
      <c r="F634" s="376" t="e">
        <f>VLOOKUP(A634,Anatel!A$3:R3637,18,0)</f>
        <v>#N/A</v>
      </c>
      <c r="G634" s="376"/>
      <c r="H634" s="14" t="e">
        <f>VLOOKUP(A634,VODANET!C$5:AG2722,31,0)</f>
        <v>#N/A</v>
      </c>
      <c r="I634" s="14"/>
      <c r="J634" s="14"/>
      <c r="K634" s="38"/>
      <c r="L634" s="99"/>
      <c r="M634" s="99" t="s">
        <v>4083</v>
      </c>
      <c r="N634" s="16" t="s">
        <v>4083</v>
      </c>
    </row>
    <row r="635" spans="1:14" s="16" customFormat="1" ht="15.75" customHeight="1">
      <c r="A635" s="22"/>
      <c r="B635" s="24" t="e">
        <f>VLOOKUP(A635,VODANET!C$5:D2723,2,0)</f>
        <v>#N/A</v>
      </c>
      <c r="C635" s="24" t="e">
        <f>VLOOKUP(A635,VODANET!C$5:L2723,10,0)</f>
        <v>#N/A</v>
      </c>
      <c r="D635" s="11" t="e">
        <f>VLOOKUP(A635,VODANET!C$5:N2723,12,0)</f>
        <v>#N/A</v>
      </c>
      <c r="E635" s="376" t="e">
        <f>VLOOKUP(A635,VODANET!C$5:O2719,13,0)</f>
        <v>#N/A</v>
      </c>
      <c r="F635" s="376" t="e">
        <f>VLOOKUP(A635,Anatel!A$3:R3638,18,0)</f>
        <v>#N/A</v>
      </c>
      <c r="G635" s="376"/>
      <c r="H635" s="14" t="e">
        <f>VLOOKUP(A635,VODANET!C$5:AG2723,31,0)</f>
        <v>#N/A</v>
      </c>
      <c r="I635" s="14"/>
      <c r="J635" s="14"/>
      <c r="K635" s="38"/>
      <c r="L635" s="99"/>
      <c r="M635" s="99" t="s">
        <v>4083</v>
      </c>
      <c r="N635" s="16" t="s">
        <v>4083</v>
      </c>
    </row>
    <row r="636" spans="1:14" s="16" customFormat="1" ht="15.75" customHeight="1">
      <c r="A636" s="22"/>
      <c r="B636" s="24" t="e">
        <f>VLOOKUP(A636,VODANET!C$5:D2724,2,0)</f>
        <v>#N/A</v>
      </c>
      <c r="C636" s="24" t="e">
        <f>VLOOKUP(A636,VODANET!C$5:L2724,10,0)</f>
        <v>#N/A</v>
      </c>
      <c r="D636" s="11" t="e">
        <f>VLOOKUP(A636,VODANET!C$5:N2724,12,0)</f>
        <v>#N/A</v>
      </c>
      <c r="E636" s="376" t="e">
        <f>VLOOKUP(A636,VODANET!C$5:O2720,13,0)</f>
        <v>#N/A</v>
      </c>
      <c r="F636" s="376" t="e">
        <f>VLOOKUP(A636,Anatel!A$3:R3639,18,0)</f>
        <v>#N/A</v>
      </c>
      <c r="G636" s="376"/>
      <c r="H636" s="14" t="e">
        <f>VLOOKUP(A636,VODANET!C$5:AG2724,31,0)</f>
        <v>#N/A</v>
      </c>
      <c r="I636" s="14"/>
      <c r="J636" s="14"/>
      <c r="K636" s="38"/>
      <c r="L636" s="99"/>
      <c r="M636" s="99" t="s">
        <v>4083</v>
      </c>
      <c r="N636" s="16" t="s">
        <v>4083</v>
      </c>
    </row>
    <row r="637" spans="1:14" s="16" customFormat="1" ht="15.75" customHeight="1">
      <c r="A637" s="22"/>
      <c r="B637" s="24" t="e">
        <f>VLOOKUP(A637,VODANET!C$5:D2725,2,0)</f>
        <v>#N/A</v>
      </c>
      <c r="C637" s="24" t="e">
        <f>VLOOKUP(A637,VODANET!C$5:L2725,10,0)</f>
        <v>#N/A</v>
      </c>
      <c r="D637" s="11" t="e">
        <f>VLOOKUP(A637,VODANET!C$5:N2725,12,0)</f>
        <v>#N/A</v>
      </c>
      <c r="E637" s="376" t="e">
        <f>VLOOKUP(A637,VODANET!C$5:O2721,13,0)</f>
        <v>#N/A</v>
      </c>
      <c r="F637" s="376" t="e">
        <f>VLOOKUP(A637,Anatel!A$3:R3640,18,0)</f>
        <v>#N/A</v>
      </c>
      <c r="G637" s="376"/>
      <c r="H637" s="14" t="e">
        <f>VLOOKUP(A637,VODANET!C$5:AG2725,31,0)</f>
        <v>#N/A</v>
      </c>
      <c r="I637" s="14"/>
      <c r="J637" s="14"/>
      <c r="K637" s="38"/>
      <c r="L637" s="99"/>
      <c r="M637" s="99" t="s">
        <v>4083</v>
      </c>
      <c r="N637" s="16" t="s">
        <v>4083</v>
      </c>
    </row>
    <row r="638" spans="1:14" s="16" customFormat="1" ht="15.75" customHeight="1">
      <c r="A638" s="22"/>
      <c r="B638" s="24" t="e">
        <f>VLOOKUP(A638,VODANET!C$5:D2726,2,0)</f>
        <v>#N/A</v>
      </c>
      <c r="C638" s="24" t="e">
        <f>VLOOKUP(A638,VODANET!C$5:L2726,10,0)</f>
        <v>#N/A</v>
      </c>
      <c r="D638" s="11" t="e">
        <f>VLOOKUP(A638,VODANET!C$5:N2726,12,0)</f>
        <v>#N/A</v>
      </c>
      <c r="E638" s="376" t="e">
        <f>VLOOKUP(A638,VODANET!C$5:O2722,13,0)</f>
        <v>#N/A</v>
      </c>
      <c r="F638" s="376" t="e">
        <f>VLOOKUP(A638,Anatel!A$3:R3641,18,0)</f>
        <v>#N/A</v>
      </c>
      <c r="G638" s="376"/>
      <c r="H638" s="14" t="e">
        <f>VLOOKUP(A638,VODANET!C$5:AG2726,31,0)</f>
        <v>#N/A</v>
      </c>
      <c r="I638" s="14"/>
      <c r="J638" s="14"/>
      <c r="K638" s="38"/>
      <c r="L638" s="99"/>
      <c r="M638" s="99" t="s">
        <v>4083</v>
      </c>
      <c r="N638" s="16" t="s">
        <v>4083</v>
      </c>
    </row>
    <row r="639" spans="1:14" s="16" customFormat="1" ht="15.75" customHeight="1">
      <c r="A639" s="22"/>
      <c r="B639" s="24" t="e">
        <f>VLOOKUP(A639,VODANET!C$5:D2727,2,0)</f>
        <v>#N/A</v>
      </c>
      <c r="C639" s="24" t="e">
        <f>VLOOKUP(A639,VODANET!C$5:L2727,10,0)</f>
        <v>#N/A</v>
      </c>
      <c r="D639" s="11" t="e">
        <f>VLOOKUP(A639,VODANET!C$5:N2727,12,0)</f>
        <v>#N/A</v>
      </c>
      <c r="E639" s="376" t="e">
        <f>VLOOKUP(A639,VODANET!C$5:O2723,13,0)</f>
        <v>#N/A</v>
      </c>
      <c r="F639" s="376" t="e">
        <f>VLOOKUP(A639,Anatel!A$3:R3642,18,0)</f>
        <v>#N/A</v>
      </c>
      <c r="G639" s="376"/>
      <c r="H639" s="14" t="e">
        <f>VLOOKUP(A639,VODANET!C$5:AG2727,31,0)</f>
        <v>#N/A</v>
      </c>
      <c r="I639" s="14"/>
      <c r="J639" s="14"/>
      <c r="K639" s="38"/>
      <c r="L639" s="99"/>
      <c r="M639" s="99" t="s">
        <v>4083</v>
      </c>
      <c r="N639" s="16" t="s">
        <v>4083</v>
      </c>
    </row>
    <row r="640" spans="1:14" s="16" customFormat="1" ht="15.75" customHeight="1">
      <c r="A640" s="22"/>
      <c r="B640" s="24" t="e">
        <f>VLOOKUP(A640,VODANET!C$5:D2728,2,0)</f>
        <v>#N/A</v>
      </c>
      <c r="C640" s="24" t="e">
        <f>VLOOKUP(A640,VODANET!C$5:L2728,10,0)</f>
        <v>#N/A</v>
      </c>
      <c r="D640" s="11" t="e">
        <f>VLOOKUP(A640,VODANET!C$5:N2728,12,0)</f>
        <v>#N/A</v>
      </c>
      <c r="E640" s="376" t="e">
        <f>VLOOKUP(A640,VODANET!C$5:O2724,13,0)</f>
        <v>#N/A</v>
      </c>
      <c r="F640" s="376" t="e">
        <f>VLOOKUP(A640,Anatel!A$3:R3643,18,0)</f>
        <v>#N/A</v>
      </c>
      <c r="G640" s="376"/>
      <c r="H640" s="14" t="e">
        <f>VLOOKUP(A640,VODANET!C$5:AG2728,31,0)</f>
        <v>#N/A</v>
      </c>
      <c r="I640" s="14"/>
      <c r="J640" s="14"/>
      <c r="K640" s="38"/>
      <c r="L640" s="99"/>
      <c r="M640" s="99" t="s">
        <v>4083</v>
      </c>
      <c r="N640" s="16" t="s">
        <v>4083</v>
      </c>
    </row>
    <row r="641" spans="1:14" s="16" customFormat="1" ht="15.75" customHeight="1">
      <c r="A641" s="22"/>
      <c r="B641" s="24" t="e">
        <f>VLOOKUP(A641,VODANET!C$5:D2729,2,0)</f>
        <v>#N/A</v>
      </c>
      <c r="C641" s="24" t="e">
        <f>VLOOKUP(A641,VODANET!C$5:L2729,10,0)</f>
        <v>#N/A</v>
      </c>
      <c r="D641" s="11" t="e">
        <f>VLOOKUP(A641,VODANET!C$5:N2729,12,0)</f>
        <v>#N/A</v>
      </c>
      <c r="E641" s="376" t="e">
        <f>VLOOKUP(A641,VODANET!C$5:O2725,13,0)</f>
        <v>#N/A</v>
      </c>
      <c r="F641" s="376" t="e">
        <f>VLOOKUP(A641,Anatel!A$3:R3644,18,0)</f>
        <v>#N/A</v>
      </c>
      <c r="G641" s="376"/>
      <c r="H641" s="14" t="e">
        <f>VLOOKUP(A641,VODANET!C$5:AG2729,31,0)</f>
        <v>#N/A</v>
      </c>
      <c r="I641" s="14"/>
      <c r="J641" s="14"/>
      <c r="K641" s="38"/>
      <c r="L641" s="99"/>
      <c r="M641" s="99" t="s">
        <v>4083</v>
      </c>
      <c r="N641" s="16" t="s">
        <v>4083</v>
      </c>
    </row>
    <row r="642" spans="1:14" s="16" customFormat="1" ht="15.75" customHeight="1">
      <c r="A642" s="22"/>
      <c r="B642" s="24" t="e">
        <f>VLOOKUP(A642,VODANET!C$5:D2730,2,0)</f>
        <v>#N/A</v>
      </c>
      <c r="C642" s="24" t="e">
        <f>VLOOKUP(A642,VODANET!C$5:L2730,10,0)</f>
        <v>#N/A</v>
      </c>
      <c r="D642" s="11" t="e">
        <f>VLOOKUP(A642,VODANET!C$5:N2730,12,0)</f>
        <v>#N/A</v>
      </c>
      <c r="E642" s="376" t="e">
        <f>VLOOKUP(A642,VODANET!C$5:O2726,13,0)</f>
        <v>#N/A</v>
      </c>
      <c r="F642" s="376" t="e">
        <f>VLOOKUP(A642,Anatel!A$3:R3645,18,0)</f>
        <v>#N/A</v>
      </c>
      <c r="G642" s="376"/>
      <c r="H642" s="14" t="e">
        <f>VLOOKUP(A642,VODANET!C$5:AG2730,31,0)</f>
        <v>#N/A</v>
      </c>
      <c r="I642" s="14"/>
      <c r="J642" s="14"/>
      <c r="K642" s="38"/>
      <c r="L642" s="99"/>
      <c r="M642" s="99" t="s">
        <v>4083</v>
      </c>
      <c r="N642" s="16" t="s">
        <v>4083</v>
      </c>
    </row>
    <row r="643" spans="1:14" s="16" customFormat="1" ht="15.75" customHeight="1">
      <c r="A643" s="22"/>
      <c r="B643" s="24" t="e">
        <f>VLOOKUP(A643,VODANET!C$5:D2731,2,0)</f>
        <v>#N/A</v>
      </c>
      <c r="C643" s="24" t="e">
        <f>VLOOKUP(A643,VODANET!C$5:L2731,10,0)</f>
        <v>#N/A</v>
      </c>
      <c r="D643" s="11" t="e">
        <f>VLOOKUP(A643,VODANET!C$5:N2731,12,0)</f>
        <v>#N/A</v>
      </c>
      <c r="E643" s="376" t="e">
        <f>VLOOKUP(A643,VODANET!C$5:O2727,13,0)</f>
        <v>#N/A</v>
      </c>
      <c r="F643" s="376" t="e">
        <f>VLOOKUP(A643,Anatel!A$3:R3646,18,0)</f>
        <v>#N/A</v>
      </c>
      <c r="G643" s="376"/>
      <c r="H643" s="14" t="e">
        <f>VLOOKUP(A643,VODANET!C$5:AG2731,31,0)</f>
        <v>#N/A</v>
      </c>
      <c r="I643" s="14"/>
      <c r="J643" s="14"/>
      <c r="K643" s="38"/>
      <c r="L643" s="99"/>
      <c r="M643" s="99" t="s">
        <v>4083</v>
      </c>
      <c r="N643" s="16" t="s">
        <v>4083</v>
      </c>
    </row>
    <row r="644" spans="1:14" s="16" customFormat="1" ht="15.75" customHeight="1">
      <c r="A644" s="22"/>
      <c r="B644" s="24" t="e">
        <f>VLOOKUP(A644,VODANET!C$5:D2732,2,0)</f>
        <v>#N/A</v>
      </c>
      <c r="C644" s="24" t="e">
        <f>VLOOKUP(A644,VODANET!C$5:L2732,10,0)</f>
        <v>#N/A</v>
      </c>
      <c r="D644" s="11" t="e">
        <f>VLOOKUP(A644,VODANET!C$5:N2732,12,0)</f>
        <v>#N/A</v>
      </c>
      <c r="E644" s="376" t="e">
        <f>VLOOKUP(A644,VODANET!C$5:O2728,13,0)</f>
        <v>#N/A</v>
      </c>
      <c r="F644" s="376" t="e">
        <f>VLOOKUP(A644,Anatel!A$3:R3647,18,0)</f>
        <v>#N/A</v>
      </c>
      <c r="G644" s="376"/>
      <c r="H644" s="14" t="e">
        <f>VLOOKUP(A644,VODANET!C$5:AG2732,31,0)</f>
        <v>#N/A</v>
      </c>
      <c r="I644" s="14"/>
      <c r="J644" s="14"/>
      <c r="K644" s="38"/>
      <c r="L644" s="99"/>
      <c r="M644" s="99" t="s">
        <v>4083</v>
      </c>
      <c r="N644" s="16" t="s">
        <v>4083</v>
      </c>
    </row>
    <row r="645" spans="1:14" s="16" customFormat="1" ht="15.75" customHeight="1">
      <c r="A645" s="22"/>
      <c r="B645" s="24"/>
      <c r="C645" s="24"/>
      <c r="D645" s="11"/>
      <c r="E645" s="376"/>
      <c r="F645" s="376"/>
      <c r="G645" s="376"/>
      <c r="H645" s="14"/>
      <c r="I645" s="14"/>
      <c r="J645" s="14"/>
      <c r="K645" s="38"/>
      <c r="L645" s="99"/>
      <c r="M645" s="99" t="s">
        <v>4083</v>
      </c>
      <c r="N645" s="16" t="s">
        <v>4083</v>
      </c>
    </row>
    <row r="646" spans="1:14" s="16" customFormat="1" ht="15.75" customHeight="1">
      <c r="A646" s="22"/>
      <c r="B646" s="24"/>
      <c r="C646" s="24"/>
      <c r="D646" s="11"/>
      <c r="E646" s="376"/>
      <c r="F646" s="376"/>
      <c r="G646" s="376"/>
      <c r="H646" s="14"/>
      <c r="I646" s="14"/>
      <c r="J646" s="14"/>
      <c r="K646" s="38"/>
      <c r="L646" s="99"/>
      <c r="M646" s="99" t="s">
        <v>4083</v>
      </c>
      <c r="N646" s="16" t="s">
        <v>4083</v>
      </c>
    </row>
    <row r="647" spans="1:14" s="16" customFormat="1" ht="15.75" customHeight="1">
      <c r="A647" s="22"/>
      <c r="B647" s="24"/>
      <c r="C647" s="24"/>
      <c r="D647" s="11"/>
      <c r="E647" s="376"/>
      <c r="F647" s="376"/>
      <c r="G647" s="376"/>
      <c r="H647" s="14"/>
      <c r="I647" s="14"/>
      <c r="J647" s="14"/>
      <c r="K647" s="38"/>
      <c r="L647" s="99"/>
      <c r="M647" s="99" t="s">
        <v>4083</v>
      </c>
      <c r="N647" s="16" t="s">
        <v>4083</v>
      </c>
    </row>
    <row r="648" spans="1:14" s="16" customFormat="1" ht="15.75" customHeight="1">
      <c r="A648" s="22"/>
      <c r="B648" s="24"/>
      <c r="C648" s="24"/>
      <c r="D648" s="11"/>
      <c r="E648" s="376"/>
      <c r="F648" s="376"/>
      <c r="G648" s="376"/>
      <c r="H648" s="14"/>
      <c r="I648" s="14"/>
      <c r="J648" s="14"/>
      <c r="K648" s="38"/>
      <c r="L648" s="99"/>
      <c r="M648" s="99" t="s">
        <v>4083</v>
      </c>
      <c r="N648" s="16" t="s">
        <v>4083</v>
      </c>
    </row>
    <row r="649" spans="1:14" s="16" customFormat="1" ht="15.75" customHeight="1">
      <c r="A649" s="22"/>
      <c r="B649" s="24"/>
      <c r="C649" s="24"/>
      <c r="D649" s="11"/>
      <c r="E649" s="376"/>
      <c r="F649" s="376"/>
      <c r="G649" s="376"/>
      <c r="H649" s="14"/>
      <c r="I649" s="14"/>
      <c r="J649" s="14"/>
      <c r="K649" s="38"/>
      <c r="L649" s="99"/>
      <c r="M649" s="99" t="s">
        <v>4083</v>
      </c>
      <c r="N649" s="16" t="s">
        <v>4083</v>
      </c>
    </row>
    <row r="650" spans="1:14" s="16" customFormat="1" ht="15.75" customHeight="1">
      <c r="A650" s="22"/>
      <c r="B650" s="24"/>
      <c r="C650" s="24"/>
      <c r="D650" s="11"/>
      <c r="E650" s="376"/>
      <c r="F650" s="376"/>
      <c r="G650" s="376"/>
      <c r="H650" s="14"/>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1" activePane="bottomLeft" state="frozen"/>
      <selection pane="bottomLeft" activeCell="E254" sqref="E254"/>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430</v>
      </c>
    </row>
    <row r="3" spans="2:16" ht="22.5" customHeight="1" thickBot="1">
      <c r="B3" s="139" t="s">
        <v>6442</v>
      </c>
      <c r="C3" s="154">
        <f>COUNTIF(VODANET!J5:J4966,"ACEITO")</f>
        <v>1970</v>
      </c>
      <c r="D3" s="154">
        <f>1200-C2</f>
        <v>770</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69">
        <v>40</v>
      </c>
      <c r="D27" s="470"/>
      <c r="E27" s="469">
        <v>40</v>
      </c>
      <c r="F27" s="470"/>
      <c r="G27" s="469">
        <v>40</v>
      </c>
      <c r="H27" s="470"/>
      <c r="I27" s="469">
        <v>40</v>
      </c>
      <c r="J27" s="470"/>
      <c r="K27" s="469">
        <v>40</v>
      </c>
      <c r="L27" s="470"/>
      <c r="M27" s="114">
        <f>SUM(C27:L27)</f>
        <v>200</v>
      </c>
    </row>
    <row r="28" spans="2:14" ht="16.5" customHeight="1">
      <c r="B28" s="108" t="s">
        <v>5511</v>
      </c>
      <c r="C28" s="469">
        <f>COUNTIFS(VODANET!$AA$5:$AA$4966,"&gt;="&amp;Mensal!C26,VODANET!$AA$5:$AA$4966,"&lt;="&amp;Mensal!D26)</f>
        <v>56</v>
      </c>
      <c r="D28" s="470"/>
      <c r="E28" s="469">
        <f>COUNTIFS(VODANET!$AA$5:$AA$4966,"&gt;="&amp;Mensal!E26,VODANET!$AA$5:$AA$4966,"&lt;="&amp;Mensal!F26)</f>
        <v>41</v>
      </c>
      <c r="F28" s="470"/>
      <c r="G28" s="469">
        <f>COUNTIFS(VODANET!$AA$5:$AA$4966,"&gt;="&amp;Mensal!G26,VODANET!$AA$5:$AA$4966,"&lt;="&amp;Mensal!H26)</f>
        <v>57</v>
      </c>
      <c r="H28" s="470"/>
      <c r="I28" s="469">
        <f>COUNTIFS(VODANET!$AA$5:$AA$4966,"&gt;="&amp;Mensal!I26,VODANET!$AA$5:$AA$4966,"&lt;="&amp;Mensal!J26)</f>
        <v>21</v>
      </c>
      <c r="J28" s="470"/>
      <c r="K28" s="469">
        <f>COUNTIFS(VODANET!$AA$5:$AA$4966,"&gt;="&amp;Mensal!K26,VODANET!$AA$5:$AA$4966,"&lt;="&amp;Mensal!L26)</f>
        <v>21</v>
      </c>
      <c r="L28" s="470"/>
      <c r="M28" s="114">
        <f>SUM(C28:L28)</f>
        <v>196</v>
      </c>
    </row>
    <row r="29" spans="2:14" ht="16.5" customHeight="1" thickBot="1">
      <c r="B29" s="109" t="s">
        <v>6789</v>
      </c>
      <c r="C29" s="467">
        <v>0</v>
      </c>
      <c r="D29" s="468"/>
      <c r="E29" s="467">
        <v>0</v>
      </c>
      <c r="F29" s="468"/>
      <c r="G29" s="467">
        <v>0</v>
      </c>
      <c r="H29" s="468"/>
      <c r="I29" s="467">
        <v>0</v>
      </c>
      <c r="J29" s="468"/>
      <c r="K29" s="467">
        <v>6</v>
      </c>
      <c r="L29" s="468"/>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1970</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69">
        <v>18</v>
      </c>
      <c r="D39" s="470"/>
      <c r="E39" s="469">
        <v>58</v>
      </c>
      <c r="F39" s="470"/>
      <c r="G39" s="469">
        <v>58</v>
      </c>
      <c r="H39" s="470"/>
      <c r="I39" s="469">
        <v>56</v>
      </c>
      <c r="J39" s="470"/>
      <c r="K39" s="114">
        <f>SUM(C39:J39)</f>
        <v>190</v>
      </c>
    </row>
    <row r="40" spans="2:11" ht="16.5" customHeight="1">
      <c r="B40" s="108" t="s">
        <v>5511</v>
      </c>
      <c r="C40" s="469">
        <f>COUNTIFS(VODANET!$AA$5:$AA$4966,"&gt;="&amp;Mensal!C38,VODANET!$AA$5:$AA$4966,"&lt;="&amp;Mensal!D38)</f>
        <v>14</v>
      </c>
      <c r="D40" s="470"/>
      <c r="E40" s="469">
        <f>COUNTIFS(VODANET!$AA$5:$AA$4966,"&gt;="&amp;Mensal!E38,VODANET!$AA$5:$AA$4966,"&lt;="&amp;Mensal!F38)</f>
        <v>26</v>
      </c>
      <c r="F40" s="470"/>
      <c r="G40" s="469">
        <f>COUNTIFS(VODANET!$AA$5:$AA$4966,"&gt;="&amp;Mensal!G38,VODANET!$AA$5:$AA$4966,"&lt;="&amp;Mensal!H38)</f>
        <v>68</v>
      </c>
      <c r="H40" s="470"/>
      <c r="I40" s="469">
        <f>COUNTIFS(VODANET!$AA$5:$AA$4966,"&gt;="&amp;Mensal!I38,VODANET!$AA$5:$AA$4966,"&lt;="&amp;Mensal!J38)</f>
        <v>33</v>
      </c>
      <c r="J40" s="470"/>
      <c r="K40" s="114">
        <f>SUM(C40:J40)</f>
        <v>141</v>
      </c>
    </row>
    <row r="41" spans="2:11" ht="16.5" customHeight="1" thickBot="1">
      <c r="B41" s="109" t="s">
        <v>6789</v>
      </c>
      <c r="C41" s="467">
        <v>7</v>
      </c>
      <c r="D41" s="468"/>
      <c r="E41" s="467">
        <v>16</v>
      </c>
      <c r="F41" s="468"/>
      <c r="G41" s="467">
        <v>6</v>
      </c>
      <c r="H41" s="468"/>
      <c r="I41" s="467">
        <v>15</v>
      </c>
      <c r="J41" s="468"/>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1970</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69">
        <v>50</v>
      </c>
      <c r="D52" s="470"/>
      <c r="E52" s="469">
        <v>20</v>
      </c>
      <c r="F52" s="470"/>
      <c r="G52" s="469">
        <v>20</v>
      </c>
      <c r="H52" s="470"/>
      <c r="I52" s="469">
        <v>90</v>
      </c>
      <c r="J52" s="470"/>
      <c r="K52" s="469">
        <v>10</v>
      </c>
      <c r="L52" s="470"/>
      <c r="M52" s="114">
        <f>SUM(C52:L52)</f>
        <v>190</v>
      </c>
    </row>
    <row r="53" spans="2:13" ht="16.5" customHeight="1">
      <c r="B53" s="108" t="s">
        <v>5511</v>
      </c>
      <c r="C53" s="469">
        <f>COUNTIFS(VODANET!$AA$5:$AA$4966,"&gt;="&amp;Mensal!C51,VODANET!$AA$5:$AA$4966,"&lt;="&amp;Mensal!D51)</f>
        <v>29</v>
      </c>
      <c r="D53" s="470"/>
      <c r="E53" s="469">
        <f>COUNTIFS(VODANET!$AA$5:$AA$4966,"&gt;="&amp;Mensal!E51,VODANET!$AA$5:$AA$4966,"&lt;="&amp;Mensal!F51)</f>
        <v>12</v>
      </c>
      <c r="F53" s="470"/>
      <c r="G53" s="469">
        <f>COUNTIFS(VODANET!$AA$5:$AA$4966,"&gt;="&amp;Mensal!G51,VODANET!$AA$5:$AA$4966,"&lt;="&amp;Mensal!H51)</f>
        <v>17</v>
      </c>
      <c r="H53" s="470"/>
      <c r="I53" s="469">
        <f>COUNTIFS(VODANET!$AA$5:$AA$4966,"&gt;="&amp;Mensal!I51,VODANET!$AA$5:$AA$4966,"&lt;="&amp;Mensal!J51)</f>
        <v>33</v>
      </c>
      <c r="J53" s="470"/>
      <c r="K53" s="469">
        <f>COUNTIFS(VODANET!$AA$5:$AA$4966,"&gt;="&amp;Mensal!K51,VODANET!$AA$5:$AA$4966,"&lt;="&amp;Mensal!L51)</f>
        <v>22</v>
      </c>
      <c r="L53" s="470"/>
      <c r="M53" s="114">
        <f>SUM(C53:L53)</f>
        <v>113</v>
      </c>
    </row>
    <row r="54" spans="2:13" ht="16.5" customHeight="1" thickBot="1">
      <c r="B54" s="109" t="s">
        <v>6789</v>
      </c>
      <c r="C54" s="467">
        <v>3</v>
      </c>
      <c r="D54" s="468"/>
      <c r="E54" s="467">
        <v>7</v>
      </c>
      <c r="F54" s="468"/>
      <c r="G54" s="467">
        <v>6</v>
      </c>
      <c r="H54" s="468"/>
      <c r="I54" s="467">
        <v>0</v>
      </c>
      <c r="J54" s="468"/>
      <c r="K54" s="467">
        <v>0</v>
      </c>
      <c r="L54" s="468"/>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1970</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69">
        <v>0</v>
      </c>
      <c r="D64" s="470"/>
      <c r="E64" s="469">
        <v>40</v>
      </c>
      <c r="F64" s="470"/>
      <c r="G64" s="469">
        <v>30</v>
      </c>
      <c r="H64" s="470"/>
      <c r="I64" s="469">
        <v>50</v>
      </c>
      <c r="J64" s="470"/>
      <c r="K64" s="469">
        <v>80</v>
      </c>
      <c r="L64" s="470"/>
      <c r="M64" s="114">
        <f>SUM(C64:L64)</f>
        <v>200</v>
      </c>
    </row>
    <row r="65" spans="2:13" ht="16.5" customHeight="1">
      <c r="B65" s="108" t="s">
        <v>5511</v>
      </c>
      <c r="C65" s="469">
        <f>COUNTIFS(VODANET!$AA$5:$AA$4966,"&gt;="&amp;Mensal!C63,VODANET!$AA$5:$AA$4966,"&lt;="&amp;Mensal!D63)</f>
        <v>0</v>
      </c>
      <c r="D65" s="470"/>
      <c r="E65" s="469">
        <f>COUNTIFS(VODANET!$AA$5:$AA$4966,"&gt;="&amp;Mensal!E63,VODANET!$AA$5:$AA$4966,"&lt;="&amp;Mensal!F63)</f>
        <v>33</v>
      </c>
      <c r="F65" s="470"/>
      <c r="G65" s="469">
        <f>COUNTIFS(VODANET!$AA$5:$AA$4966,"&gt;="&amp;Mensal!G63,VODANET!$AA$5:$AA$4966,"&lt;="&amp;Mensal!H63)</f>
        <v>6</v>
      </c>
      <c r="H65" s="470"/>
      <c r="I65" s="469">
        <f>COUNTIFS(VODANET!$AA$5:$AA$4966,"&gt;="&amp;Mensal!I63,VODANET!$AA$5:$AA$4966,"&lt;="&amp;Mensal!J63)</f>
        <v>56</v>
      </c>
      <c r="J65" s="470"/>
      <c r="K65" s="469">
        <f>COUNTIFS(VODANET!$AA$5:$AA$4966,"&gt;="&amp;Mensal!K63,VODANET!$AA$5:$AA$4966,"&lt;="&amp;Mensal!L63)</f>
        <v>43</v>
      </c>
      <c r="L65" s="470"/>
      <c r="M65" s="114">
        <f>SUM(C65:L65)</f>
        <v>138</v>
      </c>
    </row>
    <row r="66" spans="2:13" ht="16.5" customHeight="1" thickBot="1">
      <c r="B66" s="109" t="s">
        <v>6789</v>
      </c>
      <c r="C66" s="467">
        <v>8</v>
      </c>
      <c r="D66" s="468"/>
      <c r="E66" s="467">
        <v>0</v>
      </c>
      <c r="F66" s="468"/>
      <c r="G66" s="467">
        <v>6</v>
      </c>
      <c r="H66" s="468"/>
      <c r="I66" s="467">
        <v>10</v>
      </c>
      <c r="J66" s="468"/>
      <c r="K66" s="467">
        <v>8</v>
      </c>
      <c r="L66" s="468"/>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1970</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69">
        <v>100</v>
      </c>
      <c r="D77" s="470"/>
      <c r="E77" s="469">
        <v>100</v>
      </c>
      <c r="F77" s="470"/>
      <c r="G77" s="469">
        <v>91</v>
      </c>
      <c r="H77" s="470"/>
      <c r="I77" s="469">
        <v>13</v>
      </c>
      <c r="J77" s="470"/>
      <c r="K77" s="114">
        <f>SUM(C77:J77)</f>
        <v>304</v>
      </c>
    </row>
    <row r="78" spans="2:13" ht="16.5" customHeight="1">
      <c r="B78" s="108" t="s">
        <v>5511</v>
      </c>
      <c r="C78" s="469">
        <f>COUNTIFS(VODANET!$AA$5:$AA$4966,"&gt;="&amp;Mensal!C76,VODANET!$AA$5:$AA$4966,"&lt;="&amp;Mensal!D76)</f>
        <v>50</v>
      </c>
      <c r="D78" s="470"/>
      <c r="E78" s="469">
        <f>COUNTIFS(VODANET!$AA$5:$AA$4966,"&gt;="&amp;Mensal!E76,VODANET!$AA$5:$AA$4966,"&lt;="&amp;Mensal!F76)</f>
        <v>80</v>
      </c>
      <c r="F78" s="470"/>
      <c r="G78" s="469">
        <f>COUNTIFS(VODANET!$AA$5:$AA$4966,"&gt;="&amp;Mensal!G76,VODANET!$AA$5:$AA$4966,"&lt;="&amp;Mensal!H76)</f>
        <v>92</v>
      </c>
      <c r="H78" s="470"/>
      <c r="I78" s="469">
        <f>COUNTIFS(VODANET!$AA$5:$AA$4966,"&gt;="&amp;Mensal!I76,VODANET!$AA$5:$AA$4966,"&lt;="&amp;Mensal!J76)</f>
        <v>7</v>
      </c>
      <c r="J78" s="470"/>
      <c r="K78" s="114">
        <f>SUM(C78:J78)</f>
        <v>229</v>
      </c>
    </row>
    <row r="79" spans="2:13" ht="16.5" customHeight="1" thickBot="1">
      <c r="B79" s="109" t="s">
        <v>6789</v>
      </c>
      <c r="C79" s="467">
        <v>10</v>
      </c>
      <c r="D79" s="468"/>
      <c r="E79" s="467">
        <v>6</v>
      </c>
      <c r="F79" s="468"/>
      <c r="G79" s="467">
        <v>7</v>
      </c>
      <c r="H79" s="468"/>
      <c r="I79" s="467">
        <v>0</v>
      </c>
      <c r="J79" s="468"/>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1970</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69">
        <v>10</v>
      </c>
      <c r="D91" s="470"/>
      <c r="E91" s="469">
        <v>10</v>
      </c>
      <c r="F91" s="470"/>
      <c r="G91" s="469">
        <v>10</v>
      </c>
      <c r="H91" s="470"/>
      <c r="I91" s="469">
        <v>10</v>
      </c>
      <c r="J91" s="470"/>
      <c r="K91" s="469">
        <v>10</v>
      </c>
      <c r="L91" s="470"/>
      <c r="M91" s="114">
        <f>SUM(C91:L91)</f>
        <v>50</v>
      </c>
    </row>
    <row r="92" spans="2:13" ht="16.5" customHeight="1">
      <c r="B92" s="108" t="s">
        <v>5511</v>
      </c>
      <c r="C92" s="469">
        <f>COUNTIFS(VODANET!$AA$5:$AA$4966,"&gt;="&amp;Mensal!C90,VODANET!$AA$5:$AA$4966,"&lt;="&amp;Mensal!D90)</f>
        <v>6</v>
      </c>
      <c r="D92" s="470"/>
      <c r="E92" s="469">
        <f>COUNTIFS(VODANET!$AA$5:$AA$4966,"&gt;="&amp;Mensal!E90,VODANET!$AA$5:$AA$4966,"&lt;="&amp;Mensal!F90)</f>
        <v>12</v>
      </c>
      <c r="F92" s="470"/>
      <c r="G92" s="469">
        <f>COUNTIFS(VODANET!$AA$5:$AA$4966,"&gt;="&amp;Mensal!G90,VODANET!$AA$5:$AA$4966,"&lt;="&amp;Mensal!H90)</f>
        <v>9</v>
      </c>
      <c r="H92" s="470"/>
      <c r="I92" s="469">
        <f>COUNTIFS(VODANET!$AA$5:$AA$4966,"&gt;="&amp;Mensal!I90,VODANET!$AA$5:$AA$4966,"&lt;="&amp;Mensal!J90)</f>
        <v>18</v>
      </c>
      <c r="J92" s="470"/>
      <c r="K92" s="469">
        <f>COUNTIFS(VODANET!$AA$5:$AA$4966,"&gt;="&amp;Mensal!K90,VODANET!$AA$5:$AA$4966,"&lt;="&amp;Mensal!L90)</f>
        <v>30</v>
      </c>
      <c r="L92" s="470"/>
      <c r="M92" s="114">
        <f>SUM(C92:L92)</f>
        <v>75</v>
      </c>
    </row>
    <row r="93" spans="2:13" ht="16.5" customHeight="1" thickBot="1">
      <c r="B93" s="109" t="s">
        <v>6789</v>
      </c>
      <c r="C93" s="467">
        <v>1</v>
      </c>
      <c r="D93" s="468"/>
      <c r="E93" s="467">
        <v>0</v>
      </c>
      <c r="F93" s="468"/>
      <c r="G93" s="467">
        <v>3</v>
      </c>
      <c r="H93" s="468"/>
      <c r="I93" s="467">
        <v>0</v>
      </c>
      <c r="J93" s="468"/>
      <c r="K93" s="467">
        <v>8</v>
      </c>
      <c r="L93" s="468"/>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2</v>
      </c>
      <c r="F97" s="181">
        <f>SUM(C97:E97)</f>
        <v>2</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77</v>
      </c>
    </row>
    <row r="102" spans="2:13" ht="16.5" customHeight="1" thickBot="1"/>
    <row r="103" spans="2:13" ht="16.5" customHeight="1" thickBot="1">
      <c r="B103" s="139" t="s">
        <v>6442</v>
      </c>
      <c r="C103" s="154">
        <f>C3</f>
        <v>1970</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69">
        <v>5</v>
      </c>
      <c r="D105" s="470"/>
      <c r="E105" s="469">
        <v>30</v>
      </c>
      <c r="F105" s="470"/>
      <c r="G105" s="469">
        <v>10</v>
      </c>
      <c r="H105" s="470"/>
      <c r="I105" s="469">
        <v>30</v>
      </c>
      <c r="J105" s="470"/>
      <c r="K105" s="469">
        <v>25</v>
      </c>
      <c r="L105" s="470"/>
      <c r="M105" s="114">
        <f>SUM(C105:L105)</f>
        <v>100</v>
      </c>
    </row>
    <row r="106" spans="2:13" ht="16.5" customHeight="1">
      <c r="B106" s="108" t="s">
        <v>5511</v>
      </c>
      <c r="C106" s="469">
        <f>COUNTIFS(VODANET!$AA$5:$AA$4966,"&gt;="&amp;Mensal!C104,VODANET!$AA$5:$AA$4966,"&lt;="&amp;Mensal!D104)</f>
        <v>2</v>
      </c>
      <c r="D106" s="470"/>
      <c r="E106" s="469">
        <f>COUNTIFS(VODANET!$AA$5:$AA$4966,"&gt;="&amp;Mensal!E104,VODANET!$AA$5:$AA$4966,"&lt;="&amp;Mensal!F104)</f>
        <v>29</v>
      </c>
      <c r="F106" s="470"/>
      <c r="G106" s="469">
        <f>COUNTIFS(VODANET!$AA$5:$AA$4966,"&gt;="&amp;Mensal!G104,VODANET!$AA$5:$AA$4966,"&lt;="&amp;Mensal!H104)</f>
        <v>1</v>
      </c>
      <c r="H106" s="470"/>
      <c r="I106" s="469">
        <f>COUNTIFS(VODANET!$AA$5:$AA$4966,"&gt;="&amp;Mensal!I104,VODANET!$AA$5:$AA$4966,"&lt;="&amp;Mensal!J104)</f>
        <v>5</v>
      </c>
      <c r="J106" s="470"/>
      <c r="K106" s="469">
        <f>COUNTIFS(VODANET!$AA$5:$AA$4966,"&gt;="&amp;Mensal!K104,VODANET!$AA$5:$AA$4966,"&lt;="&amp;Mensal!L104)</f>
        <v>26</v>
      </c>
      <c r="L106" s="470"/>
      <c r="M106" s="114">
        <f>SUM(C106:L106)</f>
        <v>63</v>
      </c>
    </row>
    <row r="107" spans="2:13" ht="16.5" customHeight="1" thickBot="1">
      <c r="B107" s="109" t="s">
        <v>6789</v>
      </c>
      <c r="C107" s="467">
        <v>0</v>
      </c>
      <c r="D107" s="468"/>
      <c r="E107" s="467">
        <v>2</v>
      </c>
      <c r="F107" s="468"/>
      <c r="G107" s="467">
        <v>3</v>
      </c>
      <c r="H107" s="468"/>
      <c r="I107" s="467">
        <v>0</v>
      </c>
      <c r="J107" s="468"/>
      <c r="K107" s="467">
        <v>0</v>
      </c>
      <c r="L107" s="468"/>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2</v>
      </c>
      <c r="F111" s="181">
        <f>SUM(C111:E111)</f>
        <v>2</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65</v>
      </c>
    </row>
    <row r="115" spans="2:13" ht="16.5" customHeight="1" thickBot="1"/>
    <row r="116" spans="2:13" ht="16.5" customHeight="1" thickBot="1">
      <c r="B116" s="139" t="s">
        <v>6442</v>
      </c>
      <c r="C116" s="154">
        <f>C3</f>
        <v>1970</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69">
        <v>5</v>
      </c>
      <c r="D118" s="470"/>
      <c r="E118" s="469">
        <v>40</v>
      </c>
      <c r="F118" s="470"/>
      <c r="G118" s="469">
        <v>40</v>
      </c>
      <c r="H118" s="470"/>
      <c r="I118" s="469">
        <v>40</v>
      </c>
      <c r="J118" s="470"/>
      <c r="K118" s="469">
        <v>40</v>
      </c>
      <c r="L118" s="470"/>
      <c r="M118" s="114">
        <f>SUM(C118:L118)</f>
        <v>165</v>
      </c>
    </row>
    <row r="119" spans="2:13" ht="16.5" customHeight="1">
      <c r="B119" s="108" t="s">
        <v>5511</v>
      </c>
      <c r="C119" s="469">
        <f>COUNTIFS(VODANET!$AA$5:$AA$4966,"&gt;="&amp;Mensal!C117,VODANET!$AA$5:$AA$4966,"&lt;="&amp;Mensal!D117)</f>
        <v>9</v>
      </c>
      <c r="D119" s="470"/>
      <c r="E119" s="469">
        <f>COUNTIFS(VODANET!$AA$5:$AA$4966,"&gt;="&amp;Mensal!E117,VODANET!$AA$5:$AA$4966,"&lt;="&amp;Mensal!F117)</f>
        <v>26</v>
      </c>
      <c r="F119" s="470"/>
      <c r="G119" s="469">
        <f>COUNTIFS(VODANET!$AA$5:$AA$4966,"&gt;="&amp;Mensal!G117,VODANET!$AA$5:$AA$4966,"&lt;="&amp;Mensal!H117)</f>
        <v>27</v>
      </c>
      <c r="H119" s="470"/>
      <c r="I119" s="469">
        <f>COUNTIFS(VODANET!$AA$5:$AA$4966,"&gt;="&amp;Mensal!I117,VODANET!$AA$5:$AA$4966,"&lt;="&amp;Mensal!J117)</f>
        <v>14</v>
      </c>
      <c r="J119" s="470"/>
      <c r="K119" s="469">
        <f>COUNTIFS(VODANET!$AA$5:$AA$4966,"&gt;="&amp;Mensal!K117,VODANET!$AA$5:$AA$4966,"&lt;="&amp;Mensal!L117)</f>
        <v>15</v>
      </c>
      <c r="L119" s="470"/>
      <c r="M119" s="114">
        <f>SUM(C119:L119)</f>
        <v>91</v>
      </c>
    </row>
    <row r="120" spans="2:13" ht="16.5" customHeight="1" thickBot="1">
      <c r="B120" s="109" t="s">
        <v>6789</v>
      </c>
      <c r="C120" s="467">
        <v>4</v>
      </c>
      <c r="D120" s="468"/>
      <c r="E120" s="467">
        <v>2</v>
      </c>
      <c r="F120" s="468"/>
      <c r="G120" s="467">
        <v>0</v>
      </c>
      <c r="H120" s="468"/>
      <c r="I120" s="467">
        <v>0</v>
      </c>
      <c r="J120" s="468"/>
      <c r="K120" s="467">
        <v>0</v>
      </c>
      <c r="L120" s="468"/>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2</v>
      </c>
      <c r="F124" s="181">
        <f>SUM(C124:E124)</f>
        <v>2</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91</v>
      </c>
    </row>
    <row r="128" spans="2:13" ht="16.5" customHeight="1" thickBot="1"/>
    <row r="129" spans="2:13" ht="16.5" customHeight="1" thickBot="1">
      <c r="B129" s="139" t="s">
        <v>6442</v>
      </c>
      <c r="C129" s="154">
        <f>C3</f>
        <v>1970</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69">
        <v>40</v>
      </c>
      <c r="D131" s="470"/>
      <c r="E131" s="469">
        <v>40</v>
      </c>
      <c r="F131" s="470"/>
      <c r="G131" s="469">
        <v>40</v>
      </c>
      <c r="H131" s="470"/>
      <c r="I131" s="469">
        <v>40</v>
      </c>
      <c r="J131" s="470"/>
      <c r="K131" s="469">
        <v>40</v>
      </c>
      <c r="L131" s="470"/>
      <c r="M131" s="114">
        <f>SUM(C131:L131)</f>
        <v>200</v>
      </c>
    </row>
    <row r="132" spans="2:13" ht="16.5" customHeight="1">
      <c r="B132" s="108" t="s">
        <v>5511</v>
      </c>
      <c r="C132" s="469">
        <f>COUNTIFS(VODANET!$AA$5:$AA$4966,"&gt;="&amp;Mensal!C130,VODANET!$AA$5:$AA$4966,"&lt;="&amp;Mensal!D130)</f>
        <v>33</v>
      </c>
      <c r="D132" s="470"/>
      <c r="E132" s="469">
        <f>COUNTIFS(VODANET!$AA$5:$AA$4966,"&gt;="&amp;Mensal!E130,VODANET!$AA$5:$AA$4966,"&lt;="&amp;Mensal!F130)</f>
        <v>20</v>
      </c>
      <c r="F132" s="470"/>
      <c r="G132" s="469">
        <f>COUNTIFS(VODANET!$AA$5:$AA$4966,"&gt;="&amp;Mensal!G130,VODANET!$AA$5:$AA$4966,"&lt;="&amp;Mensal!H130)</f>
        <v>15</v>
      </c>
      <c r="H132" s="470"/>
      <c r="I132" s="469">
        <f>COUNTIFS(VODANET!$AA$5:$AA$4966,"&gt;="&amp;Mensal!I130,VODANET!$AA$5:$AA$4966,"&lt;="&amp;Mensal!J130)</f>
        <v>33</v>
      </c>
      <c r="J132" s="470"/>
      <c r="K132" s="469">
        <f>COUNTIFS(VODANET!$AA$5:$AA$4966,"&gt;="&amp;Mensal!K130,VODANET!$AA$5:$AA$4966,"&lt;="&amp;Mensal!L130)</f>
        <v>23</v>
      </c>
      <c r="L132" s="470"/>
      <c r="M132" s="114">
        <f>SUM(C132:L132)</f>
        <v>124</v>
      </c>
    </row>
    <row r="133" spans="2:13" ht="16.5" customHeight="1" thickBot="1">
      <c r="B133" s="109" t="s">
        <v>6789</v>
      </c>
      <c r="C133" s="467">
        <v>4</v>
      </c>
      <c r="D133" s="468"/>
      <c r="E133" s="467">
        <v>0</v>
      </c>
      <c r="F133" s="468"/>
      <c r="G133" s="467">
        <v>4</v>
      </c>
      <c r="H133" s="468"/>
      <c r="I133" s="467">
        <v>1</v>
      </c>
      <c r="J133" s="468"/>
      <c r="K133" s="467">
        <v>5</v>
      </c>
      <c r="L133" s="468"/>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2</v>
      </c>
      <c r="F137" s="181">
        <f>SUM(C137:E137)</f>
        <v>2</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125</v>
      </c>
    </row>
    <row r="141" spans="2:13" ht="16.5" customHeight="1" thickBot="1"/>
    <row r="142" spans="2:13" ht="16.5" customHeight="1" thickBot="1">
      <c r="B142" s="139" t="s">
        <v>6442</v>
      </c>
      <c r="C142" s="154">
        <f>C3</f>
        <v>1970</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69">
        <v>40</v>
      </c>
      <c r="D144" s="470"/>
      <c r="E144" s="469">
        <v>40</v>
      </c>
      <c r="F144" s="470"/>
      <c r="G144" s="469">
        <v>40</v>
      </c>
      <c r="H144" s="470"/>
      <c r="I144" s="469">
        <v>40</v>
      </c>
      <c r="J144" s="470"/>
      <c r="K144" s="469">
        <v>40</v>
      </c>
      <c r="L144" s="470"/>
      <c r="M144" s="114">
        <f>SUM(C144:L144)</f>
        <v>200</v>
      </c>
    </row>
    <row r="145" spans="2:13" ht="16.5" customHeight="1">
      <c r="B145" s="108" t="s">
        <v>5511</v>
      </c>
      <c r="C145" s="469">
        <f>COUNTIFS(VODANET!$AA$5:$AA$4966,"&gt;="&amp;Mensal!C143,VODANET!$AA$5:$AA$4966,"&lt;="&amp;Mensal!D143)</f>
        <v>28</v>
      </c>
      <c r="D145" s="470"/>
      <c r="E145" s="469">
        <f>COUNTIFS(VODANET!$AA$5:$AA$4966,"&gt;="&amp;Mensal!E143,VODANET!$AA$5:$AA$4966,"&lt;="&amp;Mensal!F143)</f>
        <v>32</v>
      </c>
      <c r="F145" s="470"/>
      <c r="G145" s="469">
        <f>COUNTIFS(VODANET!$AA$5:$AA$4966,"&gt;="&amp;Mensal!G143,VODANET!$AA$5:$AA$4966,"&lt;="&amp;Mensal!H143)</f>
        <v>40</v>
      </c>
      <c r="H145" s="470"/>
      <c r="I145" s="469">
        <f>COUNTIFS(VODANET!$AA$5:$AA$4966,"&gt;="&amp;Mensal!I143,VODANET!$AA$5:$AA$4966,"&lt;="&amp;Mensal!J143)</f>
        <v>24</v>
      </c>
      <c r="J145" s="470"/>
      <c r="K145" s="469">
        <f>COUNTIFS(VODANET!$AA$5:$AA$4966,"&gt;="&amp;Mensal!K143,VODANET!$AA$5:$AA$4966,"&lt;="&amp;Mensal!L143)</f>
        <v>26</v>
      </c>
      <c r="L145" s="470"/>
      <c r="M145" s="114">
        <f>SUM(C145:L145)</f>
        <v>150</v>
      </c>
    </row>
    <row r="146" spans="2:13" ht="16.5" customHeight="1" thickBot="1">
      <c r="B146" s="109" t="s">
        <v>6789</v>
      </c>
      <c r="C146" s="467">
        <v>1</v>
      </c>
      <c r="D146" s="468"/>
      <c r="E146" s="467">
        <v>0</v>
      </c>
      <c r="F146" s="468"/>
      <c r="G146" s="467">
        <v>4</v>
      </c>
      <c r="H146" s="468"/>
      <c r="I146" s="467">
        <v>0</v>
      </c>
      <c r="J146" s="468"/>
      <c r="K146" s="467">
        <v>6</v>
      </c>
      <c r="L146" s="468"/>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2</v>
      </c>
      <c r="F150" s="181">
        <f>SUM(C150:E150)</f>
        <v>2</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152</v>
      </c>
    </row>
    <row r="154" spans="2:13" ht="16.5" customHeight="1" thickBot="1"/>
    <row r="155" spans="2:13" ht="16.5" customHeight="1" thickBot="1">
      <c r="B155" s="139" t="s">
        <v>6442</v>
      </c>
      <c r="C155" s="154">
        <f>C3</f>
        <v>1970</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69">
        <v>50</v>
      </c>
      <c r="D157" s="470"/>
      <c r="E157" s="469">
        <v>50</v>
      </c>
      <c r="F157" s="470"/>
      <c r="G157" s="469">
        <v>50</v>
      </c>
      <c r="H157" s="470"/>
      <c r="I157" s="469">
        <v>50</v>
      </c>
      <c r="J157" s="470"/>
      <c r="K157" s="114">
        <f>SUM(C157:J157)</f>
        <v>200</v>
      </c>
    </row>
    <row r="158" spans="2:13" ht="16.5" customHeight="1">
      <c r="B158" s="108" t="s">
        <v>5511</v>
      </c>
      <c r="C158" s="469">
        <f>COUNTIFS(VODANET!$AA$5:$AA$4966,"&gt;="&amp;Mensal!C156,VODANET!$AA$5:$AA$4966,"&lt;="&amp;Mensal!D156)</f>
        <v>47</v>
      </c>
      <c r="D158" s="470"/>
      <c r="E158" s="469">
        <f>COUNTIFS(VODANET!$AA$5:$AA$4966,"&gt;="&amp;Mensal!E156,VODANET!$AA$5:$AA$4966,"&lt;="&amp;Mensal!F156)</f>
        <v>32</v>
      </c>
      <c r="F158" s="470"/>
      <c r="G158" s="469">
        <f>COUNTIFS(VODANET!$AA$5:$AA$4966,"&gt;="&amp;Mensal!G156,VODANET!$AA$5:$AA$4966,"&lt;="&amp;Mensal!H156)</f>
        <v>36</v>
      </c>
      <c r="H158" s="470"/>
      <c r="I158" s="469">
        <f>COUNTIFS(VODANET!$AA$5:$AA$4966,"&gt;="&amp;Mensal!I156,VODANET!$AA$5:$AA$4966,"&lt;="&amp;Mensal!J156)</f>
        <v>90</v>
      </c>
      <c r="J158" s="470"/>
      <c r="K158" s="114">
        <f>SUM(C158:J158)</f>
        <v>205</v>
      </c>
    </row>
    <row r="159" spans="2:13" ht="16.5" customHeight="1" thickBot="1">
      <c r="B159" s="109" t="s">
        <v>6789</v>
      </c>
      <c r="C159" s="467">
        <v>0</v>
      </c>
      <c r="D159" s="468"/>
      <c r="E159" s="467">
        <v>0</v>
      </c>
      <c r="F159" s="468"/>
      <c r="G159" s="467">
        <v>0</v>
      </c>
      <c r="H159" s="468"/>
      <c r="I159" s="467">
        <v>0</v>
      </c>
      <c r="J159" s="468"/>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2</v>
      </c>
      <c r="F163" s="180">
        <f>SUM(C163:E163)</f>
        <v>2</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207</v>
      </c>
    </row>
    <row r="167" spans="2:13" ht="16.5" customHeight="1" thickBot="1"/>
    <row r="168" spans="2:13" ht="16.5" customHeight="1" thickBot="1">
      <c r="B168" s="139" t="s">
        <v>6442</v>
      </c>
      <c r="C168" s="154">
        <f>C3</f>
        <v>1970</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69">
        <v>10</v>
      </c>
      <c r="D170" s="470"/>
      <c r="E170" s="469">
        <v>10</v>
      </c>
      <c r="F170" s="470"/>
      <c r="G170" s="469">
        <v>10</v>
      </c>
      <c r="H170" s="470"/>
      <c r="I170" s="469">
        <v>10</v>
      </c>
      <c r="J170" s="470"/>
      <c r="K170" s="469">
        <v>8</v>
      </c>
      <c r="L170" s="470"/>
      <c r="M170" s="114">
        <f>SUM(C170:L170)</f>
        <v>48</v>
      </c>
    </row>
    <row r="171" spans="2:13" ht="16.5" customHeight="1">
      <c r="B171" s="108" t="s">
        <v>5511</v>
      </c>
      <c r="C171" s="469">
        <f>COUNTIFS(VODANET!$AA$5:$AA$4966,"&gt;="&amp;Mensal!C169,VODANET!$AA$5:$AA$4966,"&lt;="&amp;Mensal!D169)</f>
        <v>10</v>
      </c>
      <c r="D171" s="470"/>
      <c r="E171" s="469">
        <f>COUNTIFS(VODANET!$AA$5:$AA$4966,"&gt;="&amp;Mensal!E169,VODANET!$AA$5:$AA$4966,"&lt;="&amp;Mensal!F169)</f>
        <v>11</v>
      </c>
      <c r="F171" s="470"/>
      <c r="G171" s="469">
        <f>COUNTIFS(VODANET!$AA$5:$AA$4966,"&gt;="&amp;Mensal!G169,VODANET!$AA$5:$AA$4966,"&lt;="&amp;Mensal!H169)</f>
        <v>5</v>
      </c>
      <c r="H171" s="470"/>
      <c r="I171" s="469">
        <f>COUNTIFS(VODANET!$AA$5:$AA$4966,"&gt;="&amp;Mensal!I169,VODANET!$AA$5:$AA$4966,"&lt;="&amp;Mensal!J169)</f>
        <v>5</v>
      </c>
      <c r="J171" s="470"/>
      <c r="K171" s="469">
        <f>COUNTIFS(VODANET!$AA$5:$AA$4966,"&gt;="&amp;Mensal!K169,VODANET!$AA$5:$AA$4966,"&lt;="&amp;Mensal!L169)</f>
        <v>6</v>
      </c>
      <c r="L171" s="470"/>
      <c r="M171" s="114">
        <f>SUM(C171:L171)</f>
        <v>37</v>
      </c>
    </row>
    <row r="172" spans="2:13" ht="16.5" customHeight="1" thickBot="1">
      <c r="B172" s="109" t="s">
        <v>6789</v>
      </c>
      <c r="C172" s="467">
        <v>1</v>
      </c>
      <c r="D172" s="468"/>
      <c r="E172" s="467">
        <v>0</v>
      </c>
      <c r="F172" s="468"/>
      <c r="G172" s="467">
        <v>0</v>
      </c>
      <c r="H172" s="468"/>
      <c r="I172" s="467">
        <v>2</v>
      </c>
      <c r="J172" s="468"/>
      <c r="K172" s="467">
        <v>0</v>
      </c>
      <c r="L172" s="468"/>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2</v>
      </c>
      <c r="F176" s="181">
        <f>SUM(C176:E176)</f>
        <v>2</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39</v>
      </c>
    </row>
    <row r="180" spans="2:13" ht="16.5" customHeight="1" thickBot="1"/>
    <row r="181" spans="2:13" ht="16.5" customHeight="1" thickBot="1">
      <c r="B181" s="139" t="s">
        <v>6442</v>
      </c>
      <c r="C181" s="154">
        <f>C3</f>
        <v>1970</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69">
        <v>8</v>
      </c>
      <c r="D183" s="470"/>
      <c r="E183" s="469">
        <v>3</v>
      </c>
      <c r="F183" s="470"/>
      <c r="G183" s="469">
        <v>0</v>
      </c>
      <c r="H183" s="470"/>
      <c r="I183" s="469">
        <v>0</v>
      </c>
      <c r="J183" s="470"/>
      <c r="K183" s="469">
        <v>0</v>
      </c>
      <c r="L183" s="470"/>
      <c r="M183" s="114">
        <f>SUM(C183:L183)</f>
        <v>11</v>
      </c>
    </row>
    <row r="184" spans="2:13" ht="16.5" customHeight="1">
      <c r="B184" s="108" t="s">
        <v>5511</v>
      </c>
      <c r="C184" s="469">
        <f>COUNTIFS(VODANET!$AA$5:$AA$4966,"&gt;="&amp;Mensal!C182,VODANET!$AA$5:$AA$4966,"&lt;="&amp;Mensal!D182)</f>
        <v>2</v>
      </c>
      <c r="D184" s="470"/>
      <c r="E184" s="469">
        <f>COUNTIFS(VODANET!$AA$5:$AA$4966,"&gt;="&amp;Mensal!E182,VODANET!$AA$5:$AA$4966,"&lt;="&amp;Mensal!F182)</f>
        <v>0</v>
      </c>
      <c r="F184" s="470"/>
      <c r="G184" s="469">
        <f>COUNTIFS(VODANET!$AA$5:$AA$4966,"&gt;="&amp;Mensal!G182,VODANET!$AA$5:$AA$4966,"&lt;="&amp;Mensal!H182)</f>
        <v>1</v>
      </c>
      <c r="H184" s="470"/>
      <c r="I184" s="469">
        <f>COUNTIFS(VODANET!$AA$5:$AA$4966,"&gt;="&amp;Mensal!I182,VODANET!$AA$5:$AA$4966,"&lt;="&amp;Mensal!J182)</f>
        <v>4</v>
      </c>
      <c r="J184" s="470"/>
      <c r="K184" s="469">
        <f>COUNTIFS(VODANET!$AA$5:$AA$4966,"&gt;="&amp;Mensal!K182,VODANET!$AA$5:$AA$4966,"&lt;="&amp;Mensal!L182)</f>
        <v>3</v>
      </c>
      <c r="L184" s="470"/>
      <c r="M184" s="114">
        <f>SUM(C184:L184)</f>
        <v>10</v>
      </c>
    </row>
    <row r="185" spans="2:13" ht="16.5" customHeight="1" thickBot="1">
      <c r="B185" s="109" t="s">
        <v>6789</v>
      </c>
      <c r="C185" s="467">
        <v>0</v>
      </c>
      <c r="D185" s="468"/>
      <c r="E185" s="467">
        <v>0</v>
      </c>
      <c r="F185" s="468"/>
      <c r="G185" s="467">
        <v>0</v>
      </c>
      <c r="H185" s="468"/>
      <c r="I185" s="467">
        <v>0</v>
      </c>
      <c r="J185" s="468"/>
      <c r="K185" s="467">
        <v>0</v>
      </c>
      <c r="L185" s="468"/>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2</v>
      </c>
      <c r="F189" s="181">
        <f>SUM(C189:E189)</f>
        <v>2</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12</v>
      </c>
    </row>
    <row r="193" spans="2:13" ht="16.5" customHeight="1" thickBot="1"/>
    <row r="194" spans="2:13" ht="16.5" customHeight="1" thickBot="1">
      <c r="B194" s="139" t="s">
        <v>6442</v>
      </c>
      <c r="C194" s="154">
        <f>C3</f>
        <v>1970</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69">
        <v>0</v>
      </c>
      <c r="D196" s="470"/>
      <c r="E196" s="469">
        <v>0</v>
      </c>
      <c r="F196" s="470"/>
      <c r="G196" s="469">
        <v>0</v>
      </c>
      <c r="H196" s="470"/>
      <c r="I196" s="469">
        <v>0</v>
      </c>
      <c r="J196" s="470"/>
      <c r="K196" s="469">
        <v>0</v>
      </c>
      <c r="L196" s="470"/>
      <c r="M196" s="114">
        <f>SUM(C196:L196)</f>
        <v>0</v>
      </c>
    </row>
    <row r="197" spans="2:13" ht="16.5" customHeight="1">
      <c r="B197" s="108" t="s">
        <v>5511</v>
      </c>
      <c r="C197" s="469">
        <f>COUNTIFS(VODANET!$AA$5:$AA$4966,"&gt;="&amp;Mensal!C195,VODANET!$AA$5:$AA$4966,"&lt;="&amp;Mensal!D195)</f>
        <v>0</v>
      </c>
      <c r="D197" s="470"/>
      <c r="E197" s="469">
        <f>COUNTIFS(VODANET!$AA$5:$AA$4966,"&gt;="&amp;Mensal!E195,VODANET!$AA$5:$AA$4966,"&lt;="&amp;Mensal!F195)</f>
        <v>0</v>
      </c>
      <c r="F197" s="470"/>
      <c r="G197" s="469">
        <f>COUNTIFS(VODANET!$AA$5:$AA$4966,"&gt;="&amp;Mensal!G195,VODANET!$AA$5:$AA$4966,"&lt;="&amp;Mensal!H195)</f>
        <v>0</v>
      </c>
      <c r="H197" s="470"/>
      <c r="I197" s="469">
        <f>COUNTIFS(VODANET!$AA$5:$AA$4966,"&gt;="&amp;Mensal!I195,VODANET!$AA$5:$AA$4966,"&lt;="&amp;Mensal!J195)</f>
        <v>0</v>
      </c>
      <c r="J197" s="470"/>
      <c r="K197" s="469">
        <f>COUNTIFS(VODANET!$AA$5:$AA$4966,"&gt;="&amp;Mensal!K195,VODANET!$AA$5:$AA$4966,"&lt;="&amp;Mensal!L195)</f>
        <v>0</v>
      </c>
      <c r="L197" s="470"/>
      <c r="M197" s="114">
        <f>SUM(C197:L197)</f>
        <v>0</v>
      </c>
    </row>
    <row r="198" spans="2:13" ht="16.5" customHeight="1" thickBot="1">
      <c r="B198" s="109" t="s">
        <v>6789</v>
      </c>
      <c r="C198" s="467">
        <v>0</v>
      </c>
      <c r="D198" s="468"/>
      <c r="E198" s="467">
        <v>0</v>
      </c>
      <c r="F198" s="468"/>
      <c r="G198" s="467">
        <v>0</v>
      </c>
      <c r="H198" s="468"/>
      <c r="I198" s="467">
        <v>0</v>
      </c>
      <c r="J198" s="468"/>
      <c r="K198" s="467">
        <v>0</v>
      </c>
      <c r="L198" s="468"/>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2</v>
      </c>
      <c r="F202" s="181">
        <f>SUM(C202:E202)</f>
        <v>2</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2</v>
      </c>
    </row>
    <row r="206" spans="2:13" ht="16.5" customHeight="1" thickBot="1"/>
    <row r="207" spans="2:13" ht="16.5" customHeight="1" thickBot="1">
      <c r="B207" s="139" t="s">
        <v>6442</v>
      </c>
      <c r="C207" s="154">
        <f>$C$3</f>
        <v>1970</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69">
        <v>0</v>
      </c>
      <c r="D209" s="470"/>
      <c r="E209" s="469">
        <v>0</v>
      </c>
      <c r="F209" s="470"/>
      <c r="G209" s="469">
        <v>0</v>
      </c>
      <c r="H209" s="470"/>
      <c r="I209" s="469">
        <v>0</v>
      </c>
      <c r="J209" s="470"/>
      <c r="K209" s="469">
        <v>0</v>
      </c>
      <c r="L209" s="470"/>
      <c r="M209" s="114">
        <f>SUM(C209:L209)</f>
        <v>0</v>
      </c>
    </row>
    <row r="210" spans="2:13" ht="16.5" customHeight="1">
      <c r="B210" s="108" t="s">
        <v>5511</v>
      </c>
      <c r="C210" s="469">
        <f>COUNTIFS(VODANET!$AA$5:$AA$4966,"&gt;="&amp;Mensal!C208,VODANET!$AA$5:$AA$4966,"&lt;="&amp;Mensal!D208)</f>
        <v>0</v>
      </c>
      <c r="D210" s="470"/>
      <c r="E210" s="469">
        <f>COUNTIFS(VODANET!$AA$5:$AA$4966,"&gt;="&amp;Mensal!E208,VODANET!$AA$5:$AA$4966,"&lt;="&amp;Mensal!F208)</f>
        <v>0</v>
      </c>
      <c r="F210" s="470"/>
      <c r="G210" s="469">
        <f>COUNTIFS(VODANET!$AA$5:$AA$4966,"&gt;="&amp;Mensal!G208,VODANET!$AA$5:$AA$4966,"&lt;="&amp;Mensal!H208)</f>
        <v>0</v>
      </c>
      <c r="H210" s="470"/>
      <c r="I210" s="469">
        <f>COUNTIFS(VODANET!$AA$5:$AA$4966,"&gt;="&amp;Mensal!I208,VODANET!$AA$5:$AA$4966,"&lt;="&amp;Mensal!J208)</f>
        <v>2</v>
      </c>
      <c r="J210" s="470"/>
      <c r="K210" s="469">
        <f>COUNTIFS(VODANET!$AA$5:$AA$4966,"&gt;="&amp;Mensal!K208,VODANET!$AA$5:$AA$4966,"&lt;="&amp;Mensal!L208)</f>
        <v>1</v>
      </c>
      <c r="L210" s="470"/>
      <c r="M210" s="114">
        <f>SUM(C210:L210)</f>
        <v>3</v>
      </c>
    </row>
    <row r="211" spans="2:13" ht="16.5" customHeight="1" thickBot="1">
      <c r="B211" s="109" t="s">
        <v>6789</v>
      </c>
      <c r="C211" s="467">
        <v>0</v>
      </c>
      <c r="D211" s="468"/>
      <c r="E211" s="467">
        <v>0</v>
      </c>
      <c r="F211" s="468"/>
      <c r="G211" s="467">
        <v>0</v>
      </c>
      <c r="H211" s="468"/>
      <c r="I211" s="467">
        <v>0</v>
      </c>
      <c r="J211" s="468"/>
      <c r="K211" s="467">
        <v>0</v>
      </c>
      <c r="L211" s="468"/>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2</v>
      </c>
      <c r="F215" s="181">
        <f>SUM(C215:E215)</f>
        <v>2</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5</v>
      </c>
    </row>
    <row r="219" spans="2:13" ht="16.5" customHeight="1" thickBot="1"/>
    <row r="220" spans="2:13" ht="16.5" customHeight="1" thickBot="1">
      <c r="B220" s="139" t="s">
        <v>6442</v>
      </c>
      <c r="C220" s="154">
        <f>$C$3</f>
        <v>1970</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69">
        <v>0</v>
      </c>
      <c r="D222" s="470"/>
      <c r="E222" s="469">
        <v>0</v>
      </c>
      <c r="F222" s="470"/>
      <c r="G222" s="469">
        <v>0</v>
      </c>
      <c r="H222" s="470"/>
      <c r="I222" s="469">
        <v>0</v>
      </c>
      <c r="J222" s="470"/>
      <c r="K222" s="469">
        <v>0</v>
      </c>
      <c r="L222" s="470"/>
      <c r="M222" s="114">
        <f>SUM(C222:L222)</f>
        <v>0</v>
      </c>
    </row>
    <row r="223" spans="2:13" ht="16.5" customHeight="1">
      <c r="B223" s="108" t="s">
        <v>5511</v>
      </c>
      <c r="C223" s="469">
        <f>COUNTIFS(VODANET!$AA$5:$AA$4966,"&gt;="&amp;Mensal!C221,VODANET!$AA$5:$AA$4966,"&lt;="&amp;Mensal!D221)</f>
        <v>0</v>
      </c>
      <c r="D223" s="470"/>
      <c r="E223" s="469">
        <f>COUNTIFS(VODANET!$AA$5:$AA$4966,"&gt;="&amp;Mensal!E221,VODANET!$AA$5:$AA$4966,"&lt;="&amp;Mensal!F221)</f>
        <v>0</v>
      </c>
      <c r="F223" s="470"/>
      <c r="G223" s="469">
        <f>COUNTIFS(VODANET!$AA$5:$AA$4966,"&gt;="&amp;Mensal!G221,VODANET!$AA$5:$AA$4966,"&lt;="&amp;Mensal!H221)</f>
        <v>0</v>
      </c>
      <c r="H223" s="470"/>
      <c r="I223" s="469">
        <f>COUNTIFS(VODANET!$AA$5:$AA$4966,"&gt;="&amp;Mensal!I221,VODANET!$AA$5:$AA$4966,"&lt;="&amp;Mensal!J221)</f>
        <v>0</v>
      </c>
      <c r="J223" s="470"/>
      <c r="K223" s="469">
        <f>COUNTIFS(VODANET!$AA$5:$AA$4966,"&gt;="&amp;Mensal!K221,VODANET!$AA$5:$AA$4966,"&lt;="&amp;Mensal!L221)</f>
        <v>1</v>
      </c>
      <c r="L223" s="470"/>
      <c r="M223" s="114">
        <f>SUM(C223:L223)</f>
        <v>1</v>
      </c>
    </row>
    <row r="224" spans="2:13" ht="16.5" customHeight="1" thickBot="1">
      <c r="B224" s="109" t="s">
        <v>6789</v>
      </c>
      <c r="C224" s="467">
        <v>0</v>
      </c>
      <c r="D224" s="468"/>
      <c r="E224" s="467">
        <v>0</v>
      </c>
      <c r="F224" s="468"/>
      <c r="G224" s="467">
        <v>0</v>
      </c>
      <c r="H224" s="468"/>
      <c r="I224" s="467">
        <v>0</v>
      </c>
      <c r="J224" s="468"/>
      <c r="K224" s="467">
        <v>0</v>
      </c>
      <c r="L224" s="468"/>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2</v>
      </c>
      <c r="F228" s="181">
        <f>SUM(C228:E228)</f>
        <v>2</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3</v>
      </c>
    </row>
    <row r="232" spans="2:13" ht="16.5" customHeight="1" thickBot="1"/>
    <row r="233" spans="2:13" ht="16.5" customHeight="1" thickBot="1">
      <c r="B233" s="139" t="s">
        <v>6442</v>
      </c>
      <c r="C233" s="154">
        <f>$C$3</f>
        <v>1970</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69">
        <v>0</v>
      </c>
      <c r="D235" s="470"/>
      <c r="E235" s="469">
        <v>0</v>
      </c>
      <c r="F235" s="470"/>
      <c r="G235" s="469">
        <v>0</v>
      </c>
      <c r="H235" s="470"/>
      <c r="I235" s="469">
        <v>0</v>
      </c>
      <c r="J235" s="470"/>
      <c r="K235" s="469">
        <v>0</v>
      </c>
      <c r="L235" s="470"/>
      <c r="M235" s="114">
        <f>SUM(C235:L235)</f>
        <v>0</v>
      </c>
    </row>
    <row r="236" spans="2:13" ht="16.5" customHeight="1">
      <c r="B236" s="108" t="s">
        <v>5511</v>
      </c>
      <c r="C236" s="469">
        <f>COUNTIFS(VODANET!$AA$5:$AA$4966,"&gt;="&amp;Mensal!C234,VODANET!$AA$5:$AA$4966,"&lt;="&amp;Mensal!D234)</f>
        <v>0</v>
      </c>
      <c r="D236" s="470"/>
      <c r="E236" s="469">
        <f>COUNTIFS(VODANET!$AA$5:$AA$4966,"&gt;="&amp;Mensal!E234,VODANET!$AA$5:$AA$4966,"&lt;="&amp;Mensal!F234)</f>
        <v>0</v>
      </c>
      <c r="F236" s="470"/>
      <c r="G236" s="469">
        <f>COUNTIFS(VODANET!$AA$5:$AA$4966,"&gt;="&amp;Mensal!G234,VODANET!$AA$5:$AA$4966,"&lt;="&amp;Mensal!H234)</f>
        <v>0</v>
      </c>
      <c r="H236" s="470"/>
      <c r="I236" s="469">
        <f>COUNTIFS(VODANET!$AA$5:$AA$4966,"&gt;="&amp;Mensal!I234,VODANET!$AA$5:$AA$4966,"&lt;="&amp;Mensal!J234)</f>
        <v>0</v>
      </c>
      <c r="J236" s="470"/>
      <c r="K236" s="469">
        <f>COUNTIFS(VODANET!$AA$5:$AA$4966,"&gt;="&amp;Mensal!K234,VODANET!$AA$5:$AA$4966,"&lt;="&amp;Mensal!L234)</f>
        <v>0</v>
      </c>
      <c r="L236" s="470"/>
      <c r="M236" s="114">
        <f>SUM(C236:L236)</f>
        <v>0</v>
      </c>
    </row>
    <row r="237" spans="2:13" ht="16.5" customHeight="1" thickBot="1">
      <c r="B237" s="109" t="s">
        <v>6789</v>
      </c>
      <c r="C237" s="467">
        <v>0</v>
      </c>
      <c r="D237" s="468"/>
      <c r="E237" s="467">
        <v>0</v>
      </c>
      <c r="F237" s="468"/>
      <c r="G237" s="467">
        <v>0</v>
      </c>
      <c r="H237" s="468"/>
      <c r="I237" s="467">
        <v>0</v>
      </c>
      <c r="J237" s="468"/>
      <c r="K237" s="467">
        <v>0</v>
      </c>
      <c r="L237" s="468"/>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2</v>
      </c>
      <c r="F241" s="181">
        <f>SUM(C241:E241)</f>
        <v>2</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2</v>
      </c>
    </row>
    <row r="245" spans="2:13" ht="16.5" customHeight="1" thickBot="1"/>
    <row r="246" spans="2:13" ht="16.5" customHeight="1" thickBot="1">
      <c r="B246" s="139" t="s">
        <v>6442</v>
      </c>
      <c r="C246" s="154">
        <f>$C$3</f>
        <v>1970</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69">
        <v>0</v>
      </c>
      <c r="D248" s="470"/>
      <c r="E248" s="469">
        <v>0</v>
      </c>
      <c r="F248" s="470"/>
      <c r="G248" s="469">
        <v>0</v>
      </c>
      <c r="H248" s="470"/>
      <c r="I248" s="469">
        <v>0</v>
      </c>
      <c r="J248" s="470"/>
      <c r="K248" s="469">
        <v>0</v>
      </c>
      <c r="L248" s="470"/>
      <c r="M248" s="114">
        <f>SUM(C248:L248)</f>
        <v>0</v>
      </c>
    </row>
    <row r="249" spans="2:13" ht="16.5" customHeight="1">
      <c r="B249" s="108" t="s">
        <v>5511</v>
      </c>
      <c r="C249" s="469">
        <f>COUNTIFS(VODANET!$AA$5:$AA$4966,"&gt;="&amp;Mensal!C247,VODANET!$AA$5:$AA$4966,"&lt;="&amp;Mensal!D247)</f>
        <v>0</v>
      </c>
      <c r="D249" s="470"/>
      <c r="E249" s="469">
        <f>COUNTIFS(VODANET!$AA$5:$AA$4966,"&gt;="&amp;Mensal!E247,VODANET!$AA$5:$AA$4966,"&lt;="&amp;Mensal!F247)</f>
        <v>0</v>
      </c>
      <c r="F249" s="470"/>
      <c r="G249" s="469">
        <f>COUNTIFS(VODANET!$AA$5:$AA$4966,"&gt;="&amp;Mensal!G247,VODANET!$AA$5:$AA$4966,"&lt;="&amp;Mensal!H247)</f>
        <v>1</v>
      </c>
      <c r="H249" s="470"/>
      <c r="I249" s="469">
        <f>COUNTIFS(VODANET!$AA$5:$AA$4966,"&gt;="&amp;Mensal!I247,VODANET!$AA$5:$AA$4966,"&lt;="&amp;Mensal!J247)</f>
        <v>0</v>
      </c>
      <c r="J249" s="470"/>
      <c r="K249" s="469">
        <f>COUNTIFS(VODANET!$AA$5:$AA$4966,"&gt;="&amp;Mensal!K247,VODANET!$AA$5:$AA$4966,"&lt;="&amp;Mensal!L247)</f>
        <v>0</v>
      </c>
      <c r="L249" s="470"/>
      <c r="M249" s="114">
        <f>SUM(C249:L249)</f>
        <v>1</v>
      </c>
    </row>
    <row r="250" spans="2:13" ht="16.5" customHeight="1" thickBot="1">
      <c r="B250" s="109" t="s">
        <v>6789</v>
      </c>
      <c r="C250" s="467">
        <v>0</v>
      </c>
      <c r="D250" s="468"/>
      <c r="E250" s="467">
        <v>0</v>
      </c>
      <c r="F250" s="468"/>
      <c r="G250" s="467">
        <v>0</v>
      </c>
      <c r="H250" s="468"/>
      <c r="I250" s="467">
        <v>0</v>
      </c>
      <c r="J250" s="468"/>
      <c r="K250" s="467">
        <v>0</v>
      </c>
      <c r="L250" s="468"/>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0</v>
      </c>
      <c r="F253" s="180">
        <f>SUM(C253:E253)</f>
        <v>1</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2</v>
      </c>
      <c r="F254" s="181">
        <f>SUM(C254:E254)</f>
        <v>2</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41574</v>
      </c>
      <c r="D2" s="136">
        <v>41579</v>
      </c>
    </row>
    <row r="3" spans="2:7" ht="16.5" customHeight="1" thickBot="1"/>
    <row r="4" spans="2:7" ht="26.25" customHeight="1" thickBot="1">
      <c r="B4" s="133" t="s">
        <v>6778</v>
      </c>
      <c r="C4" s="134" t="s">
        <v>6779</v>
      </c>
      <c r="D4" s="473" t="s">
        <v>6780</v>
      </c>
      <c r="E4" s="474"/>
    </row>
    <row r="5" spans="2:7" ht="16.5" customHeight="1">
      <c r="B5" s="124" t="s">
        <v>6781</v>
      </c>
      <c r="C5" s="125">
        <f>COUNTIF(VODANET!E5:E4966,"&lt;="&amp;D5)</f>
        <v>2075</v>
      </c>
      <c r="D5" s="126">
        <f>C2-3</f>
        <v>41571</v>
      </c>
      <c r="E5" s="127">
        <f>D5-4</f>
        <v>41567</v>
      </c>
    </row>
    <row r="6" spans="2:7" ht="16.5" customHeight="1">
      <c r="B6" s="117" t="s">
        <v>6782</v>
      </c>
      <c r="C6" s="119">
        <f>COUNTIFS(VODANET!E5:E4966,"&gt;="&amp;Semanal!C2,VODANET!E5:E4966,"&lt;="&amp;Semanal!D2)</f>
        <v>2</v>
      </c>
      <c r="D6" s="122">
        <f>C2</f>
        <v>41574</v>
      </c>
      <c r="E6" s="123">
        <f>D2</f>
        <v>41579</v>
      </c>
    </row>
    <row r="7" spans="2:7" ht="16.5" customHeight="1">
      <c r="B7" s="128" t="s">
        <v>20820</v>
      </c>
      <c r="C7" s="129">
        <f>COUNTIF(VODANET!AA5:AA4966,"&lt;="&amp;D5)+Mensal!F3</f>
        <v>1967</v>
      </c>
      <c r="D7" s="130">
        <f>D5</f>
        <v>41571</v>
      </c>
      <c r="E7" s="131">
        <f>D7-4</f>
        <v>41567</v>
      </c>
    </row>
    <row r="8" spans="2:7" ht="16.5" customHeight="1">
      <c r="B8" s="117" t="s">
        <v>6783</v>
      </c>
      <c r="C8" s="120">
        <f>(HLOOKUP(C2,Mensal!C208:'Mensal'!K210,3,0))+Mensal!F3</f>
        <v>1</v>
      </c>
      <c r="D8" s="122">
        <f>C2</f>
        <v>41574</v>
      </c>
      <c r="E8" s="123">
        <f>D2</f>
        <v>41579</v>
      </c>
    </row>
    <row r="9" spans="2:7" ht="16.5" customHeight="1">
      <c r="B9" s="128" t="s">
        <v>6784</v>
      </c>
      <c r="C9" s="132">
        <f>Mensal!F3</f>
        <v>0</v>
      </c>
      <c r="D9" s="471" t="s">
        <v>6785</v>
      </c>
      <c r="E9" s="472"/>
      <c r="G9" s="158"/>
    </row>
    <row r="10" spans="2:7" ht="16.5" customHeight="1">
      <c r="B10" s="117" t="s">
        <v>6787</v>
      </c>
      <c r="C10" s="119">
        <f>COUNTIF(VODANET!AA5:AA4966,"&lt;="&amp;Semanal!D5)</f>
        <v>1967</v>
      </c>
      <c r="D10" s="122">
        <f>D5</f>
        <v>41571</v>
      </c>
      <c r="E10" s="123">
        <f>E5</f>
        <v>41567</v>
      </c>
    </row>
    <row r="11" spans="2:7" ht="16.5" customHeight="1">
      <c r="B11" s="128" t="s">
        <v>6786</v>
      </c>
      <c r="C11" s="132">
        <f>COUNTIFS(VODANET!AA5:AA4966,"&gt;="&amp;Semanal!C2,VODANET!AA5:AA4966,"&lt;="&amp;Semanal!D2)</f>
        <v>1</v>
      </c>
      <c r="D11" s="130">
        <f>C2</f>
        <v>41574</v>
      </c>
      <c r="E11" s="131">
        <f>D2</f>
        <v>41579</v>
      </c>
    </row>
    <row r="12" spans="2:7" ht="16.5" customHeight="1">
      <c r="B12" s="117" t="s">
        <v>7651</v>
      </c>
      <c r="C12" s="120">
        <f>COUNTIFS(VODANET!AA5:AA4966,"&gt;="&amp;Semanal!D12,VODANET!AA5:AA4966,"&lt;="&amp;Semanal!E12,VODANET!L5:L4966,"LIDER")</f>
        <v>0</v>
      </c>
      <c r="D12" s="122">
        <f>E12-6</f>
        <v>41567</v>
      </c>
      <c r="E12" s="123">
        <f>C2-1</f>
        <v>41573</v>
      </c>
    </row>
    <row r="13" spans="2:7" ht="16.5" customHeight="1">
      <c r="B13" s="128" t="s">
        <v>6788</v>
      </c>
      <c r="C13" s="129">
        <f>COUNTIFS(VODANET!AA5:AA4966,"&gt;="&amp;Semanal!C2,VODANET!AA5:AA4966,"&lt;="&amp;Semanal!D2,VODANET!L5:L4966,"LIDER")+Mensal!I3</f>
        <v>0</v>
      </c>
      <c r="D13" s="130">
        <f>C2</f>
        <v>41574</v>
      </c>
      <c r="E13" s="131">
        <f>D2</f>
        <v>41579</v>
      </c>
    </row>
    <row r="14" spans="2:7" ht="16.5" customHeight="1">
      <c r="B14" s="117" t="s">
        <v>14064</v>
      </c>
      <c r="C14" s="120">
        <f>COUNTIFS(VODANET!AA5:AA4966,"&gt;="&amp;Semanal!D14,VODANET!AA5:AA4966,"&lt;="&amp;Semanal!E14,VODANET!L5:L4966,"VODANET")+Mensal!K3</f>
        <v>2</v>
      </c>
      <c r="D14" s="122">
        <f>D12</f>
        <v>41567</v>
      </c>
      <c r="E14" s="123">
        <f>E12</f>
        <v>41573</v>
      </c>
    </row>
    <row r="15" spans="2:7" ht="16.5" customHeight="1">
      <c r="B15" s="128" t="s">
        <v>14065</v>
      </c>
      <c r="C15" s="129">
        <f>COUNTIFS(VODANET!AA5:AA4966,"&gt;="&amp;Semanal!C2,VODANET!AA5:AA4966,"&lt;="&amp;Semanal!D2,VODANET!L5:L4966,"VODANET")+Mensal!K3</f>
        <v>1</v>
      </c>
      <c r="D15" s="130">
        <f>C2</f>
        <v>41574</v>
      </c>
      <c r="E15" s="131">
        <f>D2</f>
        <v>41579</v>
      </c>
    </row>
    <row r="16" spans="2:7" ht="16.5" customHeight="1">
      <c r="B16" s="117" t="s">
        <v>14066</v>
      </c>
      <c r="C16" s="120">
        <f>COUNTIFS(VODANET!AA7:AA4968,"&gt;="&amp;Semanal!D16,VODANET!AA7:AA4968,"&lt;="&amp;Semanal!E16,VODANET!L7:L4968,"SH SAT")+Mensal!M3</f>
        <v>0</v>
      </c>
      <c r="D16" s="122">
        <f>D14</f>
        <v>41567</v>
      </c>
      <c r="E16" s="123">
        <f>E14</f>
        <v>41573</v>
      </c>
    </row>
    <row r="17" spans="2:5" ht="16.5" customHeight="1">
      <c r="B17" s="128" t="s">
        <v>14067</v>
      </c>
      <c r="C17" s="129">
        <f>COUNTIFS(VODANET!AA7:AA4968,"&gt;="&amp;Semanal!C2,VODANET!AA7:AA4968,"&lt;="&amp;Semanal!D2,VODANET!L7:L4968,"SH SAT")+Mensal!M3</f>
        <v>0</v>
      </c>
      <c r="D17" s="190">
        <f>C2</f>
        <v>41574</v>
      </c>
      <c r="E17" s="191">
        <f>D2</f>
        <v>41579</v>
      </c>
    </row>
    <row r="18" spans="2:5" ht="16.5" customHeight="1" thickBot="1">
      <c r="B18" s="118" t="s">
        <v>20821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4" activePane="bottomLeft" state="frozen"/>
      <selection activeCell="P1" sqref="P1"/>
      <selection pane="bottomLeft" sqref="A1:AA211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22792</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22793</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22794</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20762</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22795</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22796</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22797</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22798</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20763</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22799</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22800</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20765</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20766</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20767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20768</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20769</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20770</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20771</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20772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20773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20774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20775</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20776</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20777</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22801</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20778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20779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20780</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20781</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20782</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22802</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22803</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22804</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22805</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20788</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22806</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22807</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22808</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22809</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22810</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20789</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22811</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20790</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20791</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20792</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20793</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20794</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22833</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22834</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22835</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75">
        <f>COUNTIFS(VODANET!J5:J2074,"ACEITO",VODANET!L5:L2074,"SH SAT")</f>
        <v>383</v>
      </c>
      <c r="H2" s="59">
        <f>F2-G2</f>
        <v>438</v>
      </c>
      <c r="I2" s="59">
        <f>H2-C2</f>
        <v>3</v>
      </c>
      <c r="J2" s="59">
        <v>0</v>
      </c>
      <c r="L2">
        <v>2581</v>
      </c>
      <c r="M2">
        <f>L2-1927</f>
        <v>654</v>
      </c>
      <c r="O2" s="16" t="s">
        <v>20232</v>
      </c>
      <c r="Q2">
        <f>M14+V14</f>
        <v>2845</v>
      </c>
      <c r="R2" s="16">
        <f>Q2-Q6</f>
        <v>875</v>
      </c>
      <c r="S2" s="16">
        <f>R2-C9-C2</f>
        <v>67</v>
      </c>
      <c r="T2">
        <f>S2-J2-J9</f>
        <v>67</v>
      </c>
    </row>
    <row r="3" spans="2:28">
      <c r="B3" s="59" t="s">
        <v>20199</v>
      </c>
      <c r="C3" s="59">
        <f>75+200</f>
        <v>275</v>
      </c>
      <c r="D3" s="59">
        <f>Z14</f>
        <v>460</v>
      </c>
      <c r="E3" s="59">
        <f>SUMIF(G16:G100,"SH SAT",E16:E100)</f>
        <v>237</v>
      </c>
      <c r="F3" s="59">
        <f>D3+E3</f>
        <v>697</v>
      </c>
      <c r="G3" s="475"/>
      <c r="H3" s="59">
        <f>F3-G2</f>
        <v>314</v>
      </c>
      <c r="I3" s="59">
        <f>(H3-C3)-J3</f>
        <v>32</v>
      </c>
      <c r="J3" s="59">
        <v>7</v>
      </c>
      <c r="L3">
        <v>91</v>
      </c>
      <c r="M3">
        <f>C2+C9</f>
        <v>808</v>
      </c>
      <c r="O3" s="16" t="s">
        <v>20231</v>
      </c>
      <c r="Q3">
        <f>O14+X14</f>
        <v>3056</v>
      </c>
      <c r="R3" s="16">
        <f>Q3-Q6</f>
        <v>1086</v>
      </c>
      <c r="S3" s="16">
        <f>R3-C11-C4</f>
        <v>344</v>
      </c>
      <c r="T3">
        <f>S3-J4-J11-M7</f>
        <v>281</v>
      </c>
    </row>
    <row r="4" spans="2:28">
      <c r="B4" s="59" t="s">
        <v>20204</v>
      </c>
      <c r="C4" s="59">
        <f>75+360</f>
        <v>435</v>
      </c>
      <c r="D4" s="59">
        <f>X14</f>
        <v>540</v>
      </c>
      <c r="E4" s="59">
        <f>SUMIF(G16:G100,"SH SAT",D16:D100)</f>
        <v>288</v>
      </c>
      <c r="F4" s="59">
        <f>D4+E4</f>
        <v>828</v>
      </c>
      <c r="G4" s="475"/>
      <c r="H4" s="59">
        <f>F4-G2</f>
        <v>445</v>
      </c>
      <c r="I4" s="59">
        <f>(H4-C4)-J4</f>
        <v>-3</v>
      </c>
      <c r="J4" s="59">
        <v>13</v>
      </c>
      <c r="M4">
        <f>M2-M3</f>
        <v>-154</v>
      </c>
      <c r="O4" s="16" t="s">
        <v>20233</v>
      </c>
      <c r="Q4">
        <f>Q14+Z14</f>
        <v>2594</v>
      </c>
      <c r="R4" s="16">
        <f>Q4-Q6</f>
        <v>624</v>
      </c>
      <c r="S4" s="16">
        <f>R4-C3-C10</f>
        <v>146</v>
      </c>
      <c r="T4">
        <f>S4-J3-J10-M8</f>
        <v>108</v>
      </c>
    </row>
    <row r="5" spans="2:28">
      <c r="B5" s="59" t="s">
        <v>20201</v>
      </c>
      <c r="C5" s="59">
        <v>147</v>
      </c>
      <c r="D5" s="59">
        <f>AB14</f>
        <v>180</v>
      </c>
      <c r="E5" s="59">
        <f>SUMIF(G16:G100,"SH SAT",F16:F100)</f>
        <v>344</v>
      </c>
      <c r="F5" s="59">
        <f>D5+E5</f>
        <v>524</v>
      </c>
      <c r="G5" s="475"/>
      <c r="H5" s="59">
        <f>F5-G2</f>
        <v>141</v>
      </c>
      <c r="I5" s="59">
        <f>H5-C5</f>
        <v>-6</v>
      </c>
      <c r="J5" s="59">
        <v>0</v>
      </c>
      <c r="O5" s="16" t="s">
        <v>20234</v>
      </c>
      <c r="Q5">
        <f>S14+AB14</f>
        <v>2450</v>
      </c>
      <c r="R5" s="16">
        <f>Q5-Q6</f>
        <v>480</v>
      </c>
      <c r="S5" s="16">
        <f>R5-C12-C5</f>
        <v>-95</v>
      </c>
      <c r="T5">
        <f>S5-J5-J12</f>
        <v>-95</v>
      </c>
    </row>
    <row r="6" spans="2:28" ht="15.75" thickBot="1">
      <c r="B6" s="16"/>
      <c r="D6" s="16"/>
      <c r="E6" s="16"/>
      <c r="F6" s="16"/>
      <c r="G6" s="16"/>
      <c r="H6" s="16"/>
      <c r="O6" s="16" t="s">
        <v>20235</v>
      </c>
      <c r="Q6">
        <f>Mensal!C3</f>
        <v>1970</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75">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75"/>
      <c r="H10" s="59">
        <f>F10-G9</f>
        <v>258</v>
      </c>
      <c r="I10" s="59">
        <f>(H10-C10)-J10-M8</f>
        <v>24</v>
      </c>
      <c r="J10" s="59">
        <v>7</v>
      </c>
    </row>
    <row r="11" spans="2:28">
      <c r="B11" s="59" t="s">
        <v>20204</v>
      </c>
      <c r="C11" s="59">
        <v>307</v>
      </c>
      <c r="D11" s="59">
        <f>O14</f>
        <v>2516</v>
      </c>
      <c r="E11" s="59">
        <f>D14</f>
        <v>615</v>
      </c>
      <c r="F11" s="59">
        <f>D11-E11</f>
        <v>1901</v>
      </c>
      <c r="G11" s="475"/>
      <c r="H11" s="59">
        <f>F11-G9</f>
        <v>473</v>
      </c>
      <c r="I11" s="59">
        <f>(H11-C11)-J11-M7</f>
        <v>116</v>
      </c>
      <c r="J11" s="59">
        <v>20</v>
      </c>
    </row>
    <row r="12" spans="2:28">
      <c r="B12" s="59" t="s">
        <v>20201</v>
      </c>
      <c r="C12" s="59">
        <v>428</v>
      </c>
      <c r="D12" s="59">
        <f>S14</f>
        <v>2270</v>
      </c>
      <c r="E12" s="59">
        <f>F14</f>
        <v>536</v>
      </c>
      <c r="F12" s="59">
        <f>D12-E12</f>
        <v>1734</v>
      </c>
      <c r="G12" s="475"/>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6"/>
  <sheetViews>
    <sheetView topLeftCell="A352" workbookViewId="0">
      <selection activeCell="A2" sqref="A2"/>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68" t="s">
        <v>20619</v>
      </c>
      <c r="B1" s="458" t="s">
        <v>22836</v>
      </c>
      <c r="C1" s="451" t="s">
        <v>8</v>
      </c>
      <c r="D1" s="459"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76" t="s">
        <v>20192</v>
      </c>
      <c r="B1" s="476"/>
      <c r="C1" s="476"/>
      <c r="D1" s="476"/>
      <c r="E1" s="476"/>
      <c r="G1" s="476" t="s">
        <v>4148</v>
      </c>
      <c r="H1" s="476"/>
      <c r="I1" s="476"/>
      <c r="J1" s="476"/>
      <c r="K1" s="476"/>
      <c r="M1" s="476" t="s">
        <v>4147</v>
      </c>
      <c r="N1" s="476"/>
      <c r="O1" s="476"/>
      <c r="P1" s="476"/>
      <c r="Q1" s="476"/>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2014-01-20T20:18:30Z</dcterms:modified>
</cp:coreProperties>
</file>