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codeName="ThisWorkbook"/>
  <xr:revisionPtr revIDLastSave="0" documentId="13_ncr:1_{DC3CAD58-03BC-4765-92EB-B215FF41F50C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AdBudget" sheetId="18" r:id="rId1"/>
  </sheets>
  <definedNames>
    <definedName name="b">#REF!</definedName>
    <definedName name="k">#REF!</definedName>
    <definedName name="OverheadRate">#REF!</definedName>
    <definedName name="solver_adj" localSheetId="0" hidden="1">AdBudget!$D$18:$G$18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AdBudget!$J$30:$M$30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AdBudget!$N$26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AdBudget!$J$32:$M$32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UnitCost">#REF!</definedName>
    <definedName name="UnitSalesPri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0" i="18" l="1"/>
  <c r="K30" i="18"/>
  <c r="J30" i="18"/>
  <c r="XFD1048550" i="18" l="1"/>
  <c r="XFD1048551" i="18"/>
  <c r="XFD1048552" i="18"/>
  <c r="XFD1048553" i="18"/>
  <c r="XFD1048554" i="18"/>
  <c r="XFD1048555" i="18" a="1"/>
  <c r="XFD1048555" i="18"/>
  <c r="XFD1048556" i="18"/>
  <c r="XFD1048557" i="18"/>
  <c r="XFD1048558" i="18"/>
  <c r="XFD1048559" i="18"/>
  <c r="XFD1048560" i="18"/>
  <c r="XFD1048561" i="18"/>
  <c r="XFD1048562" i="18" a="1"/>
  <c r="XFD1048562" i="18"/>
  <c r="XFD1048563" i="18" a="1"/>
  <c r="XFD1048563" i="18" s="1"/>
  <c r="XFD1048564" i="18" a="1"/>
  <c r="XFD1048564" i="18" s="1"/>
  <c r="XFD1048565" i="18" a="1"/>
  <c r="XFD1048565" i="18" s="1"/>
  <c r="XFD1048566" i="18" a="1"/>
  <c r="XFD1048566" i="18"/>
  <c r="XFD1048567" i="18" a="1"/>
  <c r="XFD1048567" i="18" s="1"/>
  <c r="XFD1048568" i="18" a="1"/>
  <c r="XFD1048568" i="18" s="1"/>
  <c r="XFD1048569" i="18" a="1"/>
  <c r="XFD1048569" i="18" s="1"/>
  <c r="XFD1048570" i="18" a="1"/>
  <c r="XFD1048570" i="18"/>
  <c r="XFD1048571" i="18" a="1"/>
  <c r="XFD1048571" i="18" s="1"/>
  <c r="XFD1048572" i="18" a="1"/>
  <c r="XFD1048572" i="18" s="1"/>
  <c r="XFD1048573" i="18" a="1"/>
  <c r="XFD1048573" i="18" s="1"/>
  <c r="XFD1048574" i="18" a="1"/>
  <c r="XFD1048574" i="18"/>
  <c r="XFD1048575" i="18" a="1"/>
  <c r="XFD1048575" i="18" s="1"/>
  <c r="N19" i="18"/>
  <c r="M19" i="18"/>
  <c r="L19" i="18"/>
  <c r="K19" i="18"/>
  <c r="N18" i="18"/>
  <c r="M18" i="18"/>
  <c r="L18" i="18"/>
  <c r="K18" i="18"/>
  <c r="N7" i="18"/>
  <c r="N8" i="18" s="1"/>
  <c r="M7" i="18"/>
  <c r="M8" i="18" s="1"/>
  <c r="L7" i="18"/>
  <c r="L8" i="18" s="1"/>
  <c r="K7" i="18"/>
  <c r="K8" i="18" s="1"/>
  <c r="L9" i="18" l="1"/>
  <c r="L17" i="18" s="1"/>
  <c r="M9" i="18"/>
  <c r="M17" i="18" s="1"/>
  <c r="N9" i="18"/>
  <c r="N17" i="18" s="1"/>
  <c r="M30" i="18" s="1"/>
  <c r="K9" i="18"/>
  <c r="K17" i="18" s="1"/>
  <c r="N10" i="18" l="1"/>
  <c r="L10" i="18"/>
  <c r="N20" i="18"/>
  <c r="M20" i="18"/>
  <c r="L20" i="18"/>
  <c r="M10" i="18"/>
  <c r="K10" i="18"/>
  <c r="K20" i="18"/>
  <c r="N23" i="18" l="1"/>
  <c r="N12" i="18"/>
  <c r="N26" i="18" l="1"/>
  <c r="C21" i="1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7" authorId="0" shapeId="0" xr:uid="{F8FB1FF0-07F4-594F-810B-FECC6E53B47B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based on the estimated formula
</t>
        </r>
        <r>
          <rPr>
            <sz val="9"/>
            <color rgb="FF000000"/>
            <rFont val="Tahoma"/>
            <family val="2"/>
          </rPr>
          <t xml:space="preserve">k*(seasonal factor)*sqrt(b+adbudget)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<sst xmlns="http://schemas.openxmlformats.org/spreadsheetml/2006/main" count="60" uniqueCount="37">
  <si>
    <t>Gross Profit Calculations</t>
  </si>
  <si>
    <t>Sales Revenue</t>
  </si>
  <si>
    <t>Q1</t>
  </si>
  <si>
    <t>Q2</t>
  </si>
  <si>
    <t>Q3</t>
  </si>
  <si>
    <t>Q4</t>
  </si>
  <si>
    <t>Sales Quantity</t>
  </si>
  <si>
    <t>COGS</t>
  </si>
  <si>
    <t>Gross Profit</t>
  </si>
  <si>
    <t>Annual Gross Profit</t>
  </si>
  <si>
    <t>of revenues</t>
  </si>
  <si>
    <t>Operating Expenses Calculations</t>
  </si>
  <si>
    <t>k</t>
  </si>
  <si>
    <t>b</t>
  </si>
  <si>
    <t>Overhead</t>
  </si>
  <si>
    <t>Ad Spend</t>
  </si>
  <si>
    <t>Operating Expenses</t>
  </si>
  <si>
    <t>Annual Operating Expenses</t>
  </si>
  <si>
    <t>Annual Operating Profit</t>
  </si>
  <si>
    <t>Inputs &amp; Decisions</t>
  </si>
  <si>
    <t>unit cost</t>
  </si>
  <si>
    <t>unit sales price</t>
  </si>
  <si>
    <t>seasonal factor</t>
  </si>
  <si>
    <t>sales expense</t>
  </si>
  <si>
    <t>overhead rate</t>
  </si>
  <si>
    <t>overhead budget</t>
  </si>
  <si>
    <t>Ad Formula Parameters</t>
  </si>
  <si>
    <t>ad spend</t>
  </si>
  <si>
    <t>Sales Expense</t>
  </si>
  <si>
    <t>Q1 adspend</t>
  </si>
  <si>
    <t>Decision variable</t>
  </si>
  <si>
    <t>Objective Maximize</t>
  </si>
  <si>
    <t>Constraint - Quartily overhead cannot exceed quarterly unit</t>
  </si>
  <si>
    <t>&lt;=</t>
  </si>
  <si>
    <t>limit</t>
  </si>
  <si>
    <t>Binding</t>
  </si>
  <si>
    <t>Non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</si>
</sst>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8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37">
    <xf numFmtId="0" fontId="0" fillId="0" borderId="0" xfId="0"/>
    <xf numFmtId="6" fontId="0" fillId="0" borderId="0" xfId="0" applyNumberFormat="1"/>
    <xf numFmtId="44" fontId="0" fillId="0" borderId="0" xfId="1" applyFont="1"/>
    <xf numFmtId="0" fontId="0" fillId="0" borderId="0" xfId="0" applyAlignment="1">
      <alignment horizontal="right"/>
    </xf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8" fontId="0" fillId="0" borderId="5" xfId="0" applyNumberFormat="1" applyBorder="1"/>
    <xf numFmtId="0" fontId="0" fillId="0" borderId="6" xfId="0" applyBorder="1"/>
    <xf numFmtId="6" fontId="0" fillId="0" borderId="5" xfId="0" applyNumberFormat="1" applyBorder="1"/>
    <xf numFmtId="0" fontId="0" fillId="0" borderId="5" xfId="0" applyBorder="1"/>
    <xf numFmtId="0" fontId="0" fillId="2" borderId="0" xfId="0" applyFill="1"/>
    <xf numFmtId="6" fontId="0" fillId="2" borderId="0" xfId="0" applyNumberFormat="1" applyFill="1"/>
    <xf numFmtId="0" fontId="0" fillId="0" borderId="9" xfId="0" applyBorder="1" applyAlignment="1">
      <alignment horizontal="right"/>
    </xf>
    <xf numFmtId="0" fontId="0" fillId="0" borderId="9" xfId="0" applyBorder="1"/>
    <xf numFmtId="0" fontId="0" fillId="0" borderId="8" xfId="0" applyBorder="1"/>
    <xf numFmtId="44" fontId="0" fillId="0" borderId="0" xfId="1" applyFont="1" applyBorder="1"/>
    <xf numFmtId="44" fontId="0" fillId="0" borderId="0" xfId="0" applyNumberFormat="1"/>
    <xf numFmtId="44" fontId="0" fillId="0" borderId="5" xfId="1" applyFont="1" applyBorder="1"/>
    <xf numFmtId="0" fontId="0" fillId="0" borderId="10" xfId="0" applyBorder="1"/>
    <xf numFmtId="0" fontId="0" fillId="0" borderId="11" xfId="0" applyBorder="1"/>
    <xf numFmtId="8" fontId="0" fillId="0" borderId="0" xfId="0" applyNumberFormat="1"/>
    <xf numFmtId="6" fontId="0" fillId="2" borderId="8" xfId="0" applyNumberFormat="1" applyFill="1" applyBorder="1"/>
    <xf numFmtId="0" fontId="0" fillId="2" borderId="5" xfId="0" applyFill="1" applyBorder="1"/>
    <xf numFmtId="6" fontId="0" fillId="2" borderId="5" xfId="0" applyNumberFormat="1" applyFill="1" applyBorder="1"/>
    <xf numFmtId="0" fontId="0" fillId="0" borderId="12" xfId="0" applyBorder="1"/>
    <xf numFmtId="9" fontId="0" fillId="2" borderId="0" xfId="0" applyNumberFormat="1" applyFill="1"/>
    <xf numFmtId="0" fontId="0" fillId="0" borderId="13" xfId="0" applyBorder="1"/>
    <xf numFmtId="0" fontId="0" fillId="0" borderId="8" xfId="0" applyBorder="1" applyAlignment="1">
      <alignment horizontal="right"/>
    </xf>
    <xf numFmtId="8" fontId="0" fillId="4" borderId="7" xfId="0" applyNumberFormat="1" applyFill="1" applyBorder="1"/>
    <xf numFmtId="0" fontId="2" fillId="0" borderId="4" xfId="0" applyFont="1" applyBorder="1"/>
    <xf numFmtId="8" fontId="0" fillId="0" borderId="0" xfId="1" applyNumberFormat="1" applyFont="1"/>
    <xf numFmtId="8" fontId="0" fillId="3" borderId="1" xfId="0" applyNumberFormat="1" applyFill="1" applyBorder="1"/>
    <xf numFmtId="44" fontId="0" fillId="5" borderId="9" xfId="1" applyFont="1" applyFill="1" applyBorder="1"/>
    <xf numFmtId="0" fontId="2" fillId="0" borderId="0" xfId="0" applyFont="1" applyAlignment="1">
      <alignment horizontal="right"/>
    </xf>
    <xf numFmtId="168" fontId="0" fillId="2" borderId="0" xfId="0" applyNumberFormat="1" applyFill="1"/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373380</xdr:colOff>
      <xdr:row>0</xdr:row>
      <xdr:rowOff>129540</xdr:rowOff>
    </xdr:from>
    <xdr:to>
      <xdr:col>9</xdr:col>
      <xdr:colOff>289560</xdr:colOff>
      <xdr:row>3</xdr:row>
      <xdr:rowOff>60960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866E1E7-D127-EB47-A768-D4C415637778}"/>
            </a:ext>
          </a:extLst>
        </xdr:cNvPr>
        <xdr:cNvSpPr txBox="1"/>
      </xdr:nvSpPr>
      <xdr:spPr>
        <a:xfrm>
          <a:off x="373380" y="129540"/>
          <a:ext cx="8221980" cy="502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Advertising</a:t>
          </a:r>
          <a:r>
            <a:rPr lang="en-US" sz="1100" b="1" baseline="0"/>
            <a:t> Budget Model</a:t>
          </a:r>
          <a:r>
            <a:rPr lang="en-US" sz="1100" baseline="0"/>
            <a:t>: Projecting the Annual Operating Profit Based on the Inputs</a:t>
          </a:r>
          <a:endParaRPr lang="en-US" sz="1100"/>
        </a:p>
        <a:p>
          <a:r>
            <a:rPr lang="en-US" sz="1100"/>
            <a:t>Instructions: Input the parameters in blue</a:t>
          </a:r>
          <a:r>
            <a:rPr lang="en-US" sz="1100" baseline="0"/>
            <a:t> and the model projects the annual operating profit in orange</a:t>
          </a:r>
          <a:endParaRPr lang="en-US" sz="1100"/>
        </a:p>
      </xdr:txBody>
    </xdr:sp>
    <xdr:clientData/>
  </xdr:twoCellAnchor>
  <xdr:twoCellAnchor>
    <xdr:from>
      <xdr:col>14</xdr:col>
      <xdr:colOff>229434</xdr:colOff>
      <xdr:row>3</xdr:row>
      <xdr:rowOff>20857</xdr:rowOff>
    </xdr:from>
    <xdr:to>
      <xdr:col>22</xdr:col>
      <xdr:colOff>229203</xdr:colOff>
      <xdr:row>28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8E34FDB-0FED-48E3-BEF0-5CE08FE70A0B}"/>
            </a:ext>
          </a:extLst>
        </xdr:cNvPr>
        <xdr:cNvSpPr txBox="1"/>
      </xdr:nvSpPr>
      <xdr:spPr>
        <a:xfrm>
          <a:off x="12549361" y="584014"/>
          <a:ext cx="4727506" cy="4769453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/>
            <a:t>Demo:</a:t>
          </a:r>
          <a:endParaRPr lang="en-US" sz="1600" b="1"/>
        </a:p>
        <a:p>
          <a:r>
            <a:rPr lang="en-US" sz="1600"/>
            <a:t>Consider the</a:t>
          </a:r>
          <a:r>
            <a:rPr lang="en-US" sz="1600" baseline="0"/>
            <a:t> AdBudget model we've seen several times before. What's the Ad Spend in each quarter that we should use to maximizes the annual operating profit? What if we also cannot exceed a $25,000 limit on the overhead we can spend in each quarter? Use GRGNonlinear.</a:t>
          </a:r>
          <a:endParaRPr 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5">
    <wetp:webextensionref xmlns:r="http://schemas.openxmlformats.org/officeDocument/2006/relationships" r:id="rId1"/>
  </wetp:taskpane>
  <wetp:taskpane dockstate="right" visibility="0" width="525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17FD8A44-5578-439D-89FD-C318B7911CAE}">
  <we:reference id="wa104100404" version="3.0.0.1" store="en-US" storeType="OMEX"/>
  <we:alternateReferences>
    <we:reference id="WA104100404" version="3.0.0.1" store="WA104100404" storeType="OMEX"/>
  </we:alternateReferences>
  <we:properties>
    <we:property name="CCJ1DVFXFhl7CQoC" value="&quot;&quot;"/>
    <we:property name="CCJ1DVFXFhl7CwkQFREb" value="&quot;eA==&quot;"/>
    <we:property name="CCJ1DVFXFhl7NQcELh0HKy4nRw==" value="&quot;eWgHSAUAQ1w=&quot;"/>
    <we:property name="CCJ1DVFXFhl7NQcELh0HKy8jVg==" value="&quot;eWgHSAUAQ1w=&quot;"/>
    <we:property name="CCJ1DVFXFhl7NQcELh0HKyA2RA==" value="&quot;eWgOQQ==&quot;"/>
    <we:property name="CCJ1DVFXFhl7NQcELh0HKyA2Uw==" value="&quot;eg==&quot;"/>
    <we:property name="CCJ1DVFXFhl7NQcELh0HKyA2Xg==" value="&quot;eA==&quot;"/>
    <we:property name="CCJ1DVFXFhl7NQcELh0HKyQ0Qw==" value="&quot;eWgHTwA=&quot;"/>
    <we:property name="CCJ1DVFXFhl7NQcELh0HKyQ1Ww==" value="&quot;eQ==&quot;"/>
    <we:property name="CCJ1DVFXFhl7NQcELh0HKyQjQw==" value="&quot;ew==&quot;"/>
    <we:property name="CCJ1DVFXFhl7NQcELh0HKyQoXg==" value="&quot;enY=&quot;"/>
    <we:property name="CCJ1DVFXFhl7NQcELh0HKyU2Qw==" value="&quot;eQ==&quot;"/>
    <we:property name="CCJ1DVFXFhl7NQcELh0HKyU2Rw==" value="&quot;eQ==&quot;"/>
    <we:property name="CCJ1DVFXFhl7NQcELh0HKycjUA==" value="&quot;eA==&quot;"/>
    <we:property name="CCJ1DVFXFhl7NQcELh0HKycyRQ==" value="&quot;ew==&quot;"/>
    <we:property name="CCJ1DVFXFhl7NQcELh0HKyg0RA==" value="&quot;eA==&quot;"/>
    <we:property name="CCJ1DVFXFhl7NQcELh0HKyglVA==" value="&quot;eWgHSAQ=&quot;"/>
    <we:property name="CCJ1DVFXFhl7NQcELh0HKyowUA==" value="&quot;eWgHSAUB&quot;"/>
    <we:property name="CCJ1DVFXFhl7NQcELh0HKywoUA==" value="&quot;DhRw&quot;"/>
    <we:property name="CCJ1DVFXFhl7NQcELh0HKz0pWw==" value="&quot;eWgHSAUB&quot;"/>
    <we:property name="CCJ1DVFXFhl7NQcELh0HKzk0Ug==" value="&quot;eWgHSAUAQ1w=&quot;"/>
    <we:property name="CCJ1DVFXFhl7NQcELh0HKzo1TQ==" value="&quot;eHYH&quot;"/>
    <we:property name="CCJ1DVFXFhl7NQcELh0HKzolWw==" value="&quot;eA==&quot;"/>
    <we:property name="CCJ1DVFXFhl7NQcELh0HKzopVA==" value="&quot;eQ==&quot;"/>
    <we:property name="CCJ1DVFXFhl7NQcELh0HKzoyVg==" value="&quot;eQ==&quot;"/>
    <we:property name="CCJ1DVFXFhl7NQcELh0HKzs1Uw==" value="&quot;eQ==&quot;"/>
    <we:property name="CCJ1DVFXFhl7NQcELh0HKzsjRA==" value="&quot;fA==&quot;"/>
    <we:property name="CCJ1DVFXFhl7NQcELh0HKzskQQ==" value="&quot;eA==&quot;"/>
    <we:property name="CCJ1DVFXFhl7NQcELh0HKzsqTw==" value="&quot;eA==&quot;"/>
    <we:property name="UniqueID" value="&quot;20249281730126086604&quot;"/>
  </we:properties>
  <we:bindings>
    <we:binding id="refEdit" type="matrix" appref="{815453A6-76C4-4849-BA6F-25619EF706C6}"/>
    <we:binding id="Worker" type="matrix" appref="{0A379B73-F7DB-4E7C-B3D4-9BF04D39A62A}"/>
  </we:bindings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46BFA2C9-4C3E-42A4-844F-48083E8436AE}">
  <we:reference id="wa200000018" version="24.3.0.0" store="en-US" storeType="OMEX"/>
  <we:alternateReferences>
    <we:reference id="wa200000018" version="24.3.0.0" store="WA200000018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PsiVary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PsiSixSigma</we:customFunctionIds>
        <we:customFunctionIds>PsiTSSync</we:customFunctionIds>
        <we:customFunctionIds>PsiConvergence</we:customFunctionIds>
        <we:customFunctionIds>PsiIsDate</we:customFunctionIds>
        <we:customFunctionIds>PsiIsDiscrete</we:customFunctionIds>
        <we:customFunctionIds>PsiLibrary</we:customFunctionIds>
        <we:customFunctionIds>PsiFitInfo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PsiCalcParam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PsiJoin</we:customFunctionIds>
        <we:customFunctionIds>PsiOptStatus</we:customFunctionIds>
        <we:customFunctionIds>PsiPivotCube</we:customFunctionIds>
        <we:customFunctionIds>PsiCalcValue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PsiFatigueLifeAlt</we:customFunctionIds>
        <we:customFunctionIds>PsiFrechetAlt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PsiBoxIterator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  <we:customFunctionIds>PsiModelDesc</we:customFunctionIds>
        <we:customFunctionIds>PsiCorrectCorrmat</we:customFunctionIds>
        <we:customFunctionIds>PsiStatic</we:customFunctionIds>
        <we:customFunctionIds>PsiMakeInput</we:customFunctionIds>
        <we:customFunctionIds>PsiSimulationInfo</we:customFunctionIds>
        <we:customFunctionIds>PsiConverged</we:customFunctionIds>
        <we:customFunctionIds>PsiDistInfo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9C38-54F9-874B-9DBD-1E95F68DA58E}">
  <dimension ref="B5:XFD1048575"/>
  <sheetViews>
    <sheetView tabSelected="1" topLeftCell="C13" zoomScale="70" zoomScaleNormal="70" workbookViewId="0">
      <selection activeCell="H33" sqref="H33"/>
    </sheetView>
  </sheetViews>
  <sheetFormatPr defaultColWidth="8.81640625" defaultRowHeight="14.5" x14ac:dyDescent="0.35"/>
  <cols>
    <col min="2" max="2" width="16" customWidth="1"/>
    <col min="3" max="3" width="13.1796875" customWidth="1"/>
    <col min="4" max="6" width="12.26953125" bestFit="1" customWidth="1"/>
    <col min="7" max="7" width="16.26953125" bestFit="1" customWidth="1"/>
    <col min="10" max="10" width="17" bestFit="1" customWidth="1"/>
    <col min="11" max="11" width="12.7265625" bestFit="1" customWidth="1"/>
    <col min="12" max="12" width="18.81640625" customWidth="1"/>
    <col min="13" max="13" width="14.1796875" bestFit="1" customWidth="1"/>
    <col min="14" max="14" width="13.1796875" bestFit="1" customWidth="1"/>
  </cols>
  <sheetData>
    <row r="5" spans="2:14" ht="15" thickBot="1" x14ac:dyDescent="0.4">
      <c r="B5" s="4" t="s">
        <v>19</v>
      </c>
      <c r="I5" s="4" t="s">
        <v>0</v>
      </c>
    </row>
    <row r="6" spans="2:14" x14ac:dyDescent="0.35">
      <c r="B6" s="5"/>
      <c r="C6" s="29" t="s">
        <v>20</v>
      </c>
      <c r="D6" s="23">
        <v>25</v>
      </c>
      <c r="E6" s="16"/>
      <c r="F6" s="16"/>
      <c r="G6" s="6"/>
      <c r="I6" s="5"/>
      <c r="J6" s="16"/>
      <c r="K6" s="28" t="s">
        <v>2</v>
      </c>
      <c r="L6" s="28" t="s">
        <v>3</v>
      </c>
      <c r="M6" s="28" t="s">
        <v>4</v>
      </c>
      <c r="N6" s="26" t="s">
        <v>5</v>
      </c>
    </row>
    <row r="7" spans="2:14" x14ac:dyDescent="0.35">
      <c r="B7" s="7"/>
      <c r="C7" s="3" t="s">
        <v>21</v>
      </c>
      <c r="D7" s="13">
        <v>40</v>
      </c>
      <c r="G7" s="11"/>
      <c r="I7" s="7"/>
      <c r="J7" s="3" t="s">
        <v>6</v>
      </c>
      <c r="K7" s="18">
        <f>$E$14*D9*SQRT($E$15+D18)</f>
        <v>4166.6682209530072</v>
      </c>
      <c r="L7">
        <f t="shared" ref="L7:M7" si="0">$E$14*E9*SQRT($E$15+E18)</f>
        <v>4166.6666666666661</v>
      </c>
      <c r="M7">
        <f t="shared" si="0"/>
        <v>3527.9999902776881</v>
      </c>
      <c r="N7" s="11">
        <f>$E$14*G9*SQRT($E$15+G18)</f>
        <v>4166.666666666667</v>
      </c>
    </row>
    <row r="8" spans="2:14" x14ac:dyDescent="0.35">
      <c r="B8" s="7"/>
      <c r="D8" s="20" t="s">
        <v>2</v>
      </c>
      <c r="E8" s="20" t="s">
        <v>3</v>
      </c>
      <c r="F8" s="20" t="s">
        <v>4</v>
      </c>
      <c r="G8" s="21" t="s">
        <v>5</v>
      </c>
      <c r="I8" s="7"/>
      <c r="J8" s="3" t="s">
        <v>7</v>
      </c>
      <c r="K8" s="22">
        <f>$D$6*K7</f>
        <v>104166.70552382518</v>
      </c>
      <c r="L8" s="22">
        <f t="shared" ref="L8:N8" si="1">$D$6*L7</f>
        <v>104166.66666666666</v>
      </c>
      <c r="M8" s="22">
        <f t="shared" si="1"/>
        <v>88199.999756942198</v>
      </c>
      <c r="N8" s="8">
        <f t="shared" si="1"/>
        <v>104166.66666666667</v>
      </c>
    </row>
    <row r="9" spans="2:14" x14ac:dyDescent="0.35">
      <c r="B9" s="7"/>
      <c r="C9" s="3" t="s">
        <v>22</v>
      </c>
      <c r="D9" s="12">
        <v>0.9</v>
      </c>
      <c r="E9" s="12">
        <v>1.1000000000000001</v>
      </c>
      <c r="F9" s="12">
        <v>0.8</v>
      </c>
      <c r="G9" s="24">
        <v>1.2</v>
      </c>
      <c r="I9" s="7"/>
      <c r="J9" s="3" t="s">
        <v>1</v>
      </c>
      <c r="K9" s="22">
        <f>K7*$D$7</f>
        <v>166666.7288381203</v>
      </c>
      <c r="L9" s="22">
        <f t="shared" ref="L9:N9" si="2">L7*$D$7</f>
        <v>166666.66666666663</v>
      </c>
      <c r="M9" s="22">
        <f t="shared" si="2"/>
        <v>141119.99961110752</v>
      </c>
      <c r="N9" s="8">
        <f t="shared" si="2"/>
        <v>166666.66666666669</v>
      </c>
    </row>
    <row r="10" spans="2:14" x14ac:dyDescent="0.35">
      <c r="B10" s="7"/>
      <c r="C10" s="3" t="s">
        <v>23</v>
      </c>
      <c r="D10" s="13">
        <v>8000</v>
      </c>
      <c r="E10" s="13">
        <v>8000</v>
      </c>
      <c r="F10" s="13">
        <v>9000</v>
      </c>
      <c r="G10" s="25">
        <v>9000</v>
      </c>
      <c r="I10" s="7"/>
      <c r="J10" s="3" t="s">
        <v>8</v>
      </c>
      <c r="K10" s="22">
        <f>K9-K8</f>
        <v>62500.023314295118</v>
      </c>
      <c r="L10" s="22">
        <f t="shared" ref="L10:N10" si="3">L9-L8</f>
        <v>62499.999999999971</v>
      </c>
      <c r="M10" s="22">
        <f t="shared" si="3"/>
        <v>52919.999854165319</v>
      </c>
      <c r="N10" s="8">
        <f t="shared" si="3"/>
        <v>62500.000000000015</v>
      </c>
    </row>
    <row r="11" spans="2:14" x14ac:dyDescent="0.35">
      <c r="B11" s="7"/>
      <c r="G11" s="11"/>
      <c r="I11" s="7"/>
      <c r="N11" s="11"/>
    </row>
    <row r="12" spans="2:14" ht="15" thickBot="1" x14ac:dyDescent="0.4">
      <c r="B12" s="7"/>
      <c r="C12" s="3" t="s">
        <v>24</v>
      </c>
      <c r="D12" s="27">
        <v>0.15</v>
      </c>
      <c r="E12" t="s">
        <v>10</v>
      </c>
      <c r="G12" s="11"/>
      <c r="I12" s="9"/>
      <c r="J12" s="15"/>
      <c r="K12" s="15"/>
      <c r="L12" s="15"/>
      <c r="M12" s="14" t="s">
        <v>9</v>
      </c>
      <c r="N12" s="30">
        <f>SUM(K10:N10)</f>
        <v>240420.02316846041</v>
      </c>
    </row>
    <row r="13" spans="2:14" x14ac:dyDescent="0.35">
      <c r="B13" s="7"/>
      <c r="G13" s="11" t="s">
        <v>25</v>
      </c>
    </row>
    <row r="14" spans="2:14" x14ac:dyDescent="0.35">
      <c r="B14" s="7"/>
      <c r="C14" s="3" t="s">
        <v>26</v>
      </c>
      <c r="D14" t="s">
        <v>12</v>
      </c>
      <c r="E14" s="12">
        <v>35</v>
      </c>
      <c r="G14" s="24">
        <v>125000</v>
      </c>
    </row>
    <row r="15" spans="2:14" ht="15" thickBot="1" x14ac:dyDescent="0.4">
      <c r="B15" s="7"/>
      <c r="D15" t="s">
        <v>13</v>
      </c>
      <c r="E15" s="12">
        <v>3000</v>
      </c>
      <c r="G15" s="11"/>
      <c r="I15" s="4" t="s">
        <v>11</v>
      </c>
    </row>
    <row r="16" spans="2:14" x14ac:dyDescent="0.35">
      <c r="B16" s="31"/>
      <c r="G16" s="11"/>
      <c r="I16" s="5"/>
      <c r="J16" s="16"/>
      <c r="K16" s="28" t="s">
        <v>2</v>
      </c>
      <c r="L16" s="28" t="s">
        <v>3</v>
      </c>
      <c r="M16" s="28" t="s">
        <v>4</v>
      </c>
      <c r="N16" s="26" t="s">
        <v>5</v>
      </c>
    </row>
    <row r="17" spans="2:14" x14ac:dyDescent="0.35">
      <c r="B17" s="7"/>
      <c r="C17" s="35" t="s">
        <v>30</v>
      </c>
      <c r="D17" s="20" t="s">
        <v>2</v>
      </c>
      <c r="E17" s="20" t="s">
        <v>3</v>
      </c>
      <c r="F17" s="20" t="s">
        <v>4</v>
      </c>
      <c r="G17" s="21" t="s">
        <v>5</v>
      </c>
      <c r="I17" s="7"/>
      <c r="J17" s="3" t="s">
        <v>14</v>
      </c>
      <c r="K17" s="22">
        <f>$D$12*K9</f>
        <v>25000.009325718045</v>
      </c>
      <c r="L17" s="22">
        <f t="shared" ref="L17:N17" si="4">$D$12*L9</f>
        <v>24999.999999999993</v>
      </c>
      <c r="M17" s="22">
        <f t="shared" si="4"/>
        <v>21167.999941666127</v>
      </c>
      <c r="N17" s="8">
        <f t="shared" si="4"/>
        <v>25000.000000000004</v>
      </c>
    </row>
    <row r="18" spans="2:14" ht="15" thickBot="1" x14ac:dyDescent="0.4">
      <c r="B18" s="9"/>
      <c r="C18" s="14" t="s">
        <v>27</v>
      </c>
      <c r="D18" s="34">
        <v>14496.723671957361</v>
      </c>
      <c r="E18" s="34">
        <v>8712.6740503363853</v>
      </c>
      <c r="F18" s="34">
        <v>12875.999912499194</v>
      </c>
      <c r="G18" s="34">
        <v>6841.8997228521057</v>
      </c>
      <c r="I18" s="7"/>
      <c r="J18" s="3" t="s">
        <v>28</v>
      </c>
      <c r="K18" s="1">
        <f t="shared" ref="K18:M18" si="5">D10</f>
        <v>8000</v>
      </c>
      <c r="L18" s="1">
        <f t="shared" si="5"/>
        <v>8000</v>
      </c>
      <c r="M18" s="1">
        <f t="shared" si="5"/>
        <v>9000</v>
      </c>
      <c r="N18" s="10">
        <f>G10</f>
        <v>9000</v>
      </c>
    </row>
    <row r="19" spans="2:14" x14ac:dyDescent="0.35">
      <c r="I19" s="7"/>
      <c r="J19" s="3" t="s">
        <v>15</v>
      </c>
      <c r="K19" s="17">
        <f t="shared" ref="K19:N19" si="6">D18</f>
        <v>14496.723671957361</v>
      </c>
      <c r="L19" s="17">
        <f t="shared" si="6"/>
        <v>8712.6740503363853</v>
      </c>
      <c r="M19" s="17">
        <f t="shared" si="6"/>
        <v>12875.999912499194</v>
      </c>
      <c r="N19" s="19">
        <f t="shared" si="6"/>
        <v>6841.8997228521057</v>
      </c>
    </row>
    <row r="20" spans="2:14" x14ac:dyDescent="0.35">
      <c r="B20" t="s">
        <v>29</v>
      </c>
      <c r="C20" s="32"/>
      <c r="I20" s="7"/>
      <c r="J20" s="3" t="s">
        <v>16</v>
      </c>
      <c r="K20" s="22">
        <f>SUM(K17:K19)</f>
        <v>47496.732997675404</v>
      </c>
      <c r="L20" s="22">
        <f t="shared" ref="L20:N20" si="7">SUM(L17:L19)</f>
        <v>41712.674050336376</v>
      </c>
      <c r="M20" s="22">
        <f t="shared" si="7"/>
        <v>43043.999854165319</v>
      </c>
      <c r="N20" s="8">
        <f t="shared" si="7"/>
        <v>40841.899722852104</v>
      </c>
    </row>
    <row r="21" spans="2:14" x14ac:dyDescent="0.35">
      <c r="B21" s="2"/>
      <c r="C21" s="32">
        <f>N26</f>
        <v>67324.716543431219</v>
      </c>
      <c r="I21" s="7"/>
      <c r="N21" s="11"/>
    </row>
    <row r="22" spans="2:14" x14ac:dyDescent="0.35">
      <c r="B22" s="2">
        <v>8000</v>
      </c>
      <c r="C22" s="2">
        <f t="dataTable" ref="C22:C52" dt2D="0" dtr="0" r1="D18"/>
        <v>66055.15707243525</v>
      </c>
      <c r="I22" s="7"/>
      <c r="N22" s="11"/>
    </row>
    <row r="23" spans="2:14" ht="15" thickBot="1" x14ac:dyDescent="0.4">
      <c r="B23" s="2">
        <v>8500</v>
      </c>
      <c r="C23" s="2">
        <v>66223.414237466292</v>
      </c>
      <c r="I23" s="9"/>
      <c r="J23" s="15"/>
      <c r="K23" s="15"/>
      <c r="L23" s="15"/>
      <c r="M23" s="14" t="s">
        <v>17</v>
      </c>
      <c r="N23" s="30">
        <f>SUM(K20:N20)</f>
        <v>173095.30662502919</v>
      </c>
    </row>
    <row r="24" spans="2:14" x14ac:dyDescent="0.35">
      <c r="B24" s="2">
        <v>9000</v>
      </c>
      <c r="C24" s="2">
        <v>66377.29523735441</v>
      </c>
    </row>
    <row r="25" spans="2:14" ht="15" thickBot="1" x14ac:dyDescent="0.4">
      <c r="B25" s="2">
        <v>9500</v>
      </c>
      <c r="C25" s="2">
        <v>66517.689807871007</v>
      </c>
      <c r="L25" s="4"/>
      <c r="M25" s="35" t="s">
        <v>31</v>
      </c>
    </row>
    <row r="26" spans="2:14" ht="15" thickBot="1" x14ac:dyDescent="0.4">
      <c r="B26" s="2">
        <v>10000</v>
      </c>
      <c r="C26" s="2">
        <v>66645.399528372043</v>
      </c>
      <c r="M26" s="3" t="s">
        <v>18</v>
      </c>
      <c r="N26" s="33">
        <f>N12-N23</f>
        <v>67324.716543431219</v>
      </c>
    </row>
    <row r="27" spans="2:14" x14ac:dyDescent="0.35">
      <c r="B27" s="2">
        <v>10500</v>
      </c>
      <c r="C27" s="2">
        <v>66761.149586305546</v>
      </c>
      <c r="I27" s="4" t="s">
        <v>32</v>
      </c>
    </row>
    <row r="28" spans="2:14" x14ac:dyDescent="0.35">
      <c r="B28" s="2">
        <v>11000</v>
      </c>
      <c r="C28" s="2">
        <v>66865.598596986325</v>
      </c>
      <c r="I28" s="4"/>
      <c r="L28" s="4"/>
    </row>
    <row r="29" spans="2:14" x14ac:dyDescent="0.35">
      <c r="B29" s="2">
        <v>11500</v>
      </c>
      <c r="C29" s="2">
        <v>66959.346857687691</v>
      </c>
      <c r="J29" t="s">
        <v>2</v>
      </c>
      <c r="K29" t="s">
        <v>3</v>
      </c>
      <c r="L29" s="18" t="s">
        <v>4</v>
      </c>
      <c r="M29" t="s">
        <v>5</v>
      </c>
    </row>
    <row r="30" spans="2:14" x14ac:dyDescent="0.35">
      <c r="B30" s="2">
        <v>12000</v>
      </c>
      <c r="C30" s="2">
        <v>67042.943330763024</v>
      </c>
      <c r="I30" t="s">
        <v>14</v>
      </c>
      <c r="J30" s="22">
        <f>K17</f>
        <v>25000.009325718045</v>
      </c>
      <c r="K30" s="22">
        <f>L17</f>
        <v>24999.999999999993</v>
      </c>
      <c r="L30" s="22">
        <f>M17</f>
        <v>21167.999941666127</v>
      </c>
      <c r="M30" s="22">
        <f>N17</f>
        <v>25000.000000000004</v>
      </c>
    </row>
    <row r="31" spans="2:14" x14ac:dyDescent="0.35">
      <c r="B31" s="2">
        <v>12500</v>
      </c>
      <c r="C31" s="2">
        <v>67116.891587109538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</row>
    <row r="32" spans="2:14" x14ac:dyDescent="0.35">
      <c r="B32" s="2">
        <v>13000</v>
      </c>
      <c r="C32" s="2">
        <v>67181.654893120925</v>
      </c>
      <c r="I32" t="s">
        <v>34</v>
      </c>
      <c r="J32" s="36">
        <v>25000</v>
      </c>
      <c r="K32" s="36">
        <v>25000</v>
      </c>
      <c r="L32" s="36">
        <v>25000</v>
      </c>
      <c r="M32" s="36">
        <v>25000</v>
      </c>
    </row>
    <row r="33" spans="2:13" x14ac:dyDescent="0.35">
      <c r="B33" s="2">
        <v>13500</v>
      </c>
      <c r="C33" s="2">
        <v>67237.660587327147</v>
      </c>
      <c r="J33" t="s">
        <v>35</v>
      </c>
      <c r="K33" t="s">
        <v>35</v>
      </c>
      <c r="L33" t="s">
        <v>36</v>
      </c>
      <c r="M33" t="s">
        <v>35</v>
      </c>
    </row>
    <row r="34" spans="2:13" x14ac:dyDescent="0.35">
      <c r="B34" s="2">
        <v>14000</v>
      </c>
      <c r="C34" s="2">
        <v>67285.303864310496</v>
      </c>
    </row>
    <row r="35" spans="2:13" x14ac:dyDescent="0.35">
      <c r="B35" s="2">
        <v>14500</v>
      </c>
      <c r="C35" s="2">
        <v>67324.951061152038</v>
      </c>
    </row>
    <row r="36" spans="2:13" x14ac:dyDescent="0.35">
      <c r="B36" s="2">
        <v>15000</v>
      </c>
      <c r="C36" s="2">
        <v>67356.942524082959</v>
      </c>
    </row>
    <row r="37" spans="2:13" x14ac:dyDescent="0.35">
      <c r="B37" s="2">
        <v>15500</v>
      </c>
      <c r="C37" s="2">
        <v>67381.59511907649</v>
      </c>
    </row>
    <row r="38" spans="2:13" x14ac:dyDescent="0.35">
      <c r="B38" s="2">
        <v>16000</v>
      </c>
      <c r="C38" s="2">
        <v>67399.204438987246</v>
      </c>
    </row>
    <row r="39" spans="2:13" x14ac:dyDescent="0.35">
      <c r="B39" s="2">
        <v>16500</v>
      </c>
      <c r="C39" s="2">
        <v>67410.046750896436</v>
      </c>
    </row>
    <row r="40" spans="2:13" x14ac:dyDescent="0.35">
      <c r="B40" s="2">
        <v>17000</v>
      </c>
      <c r="C40" s="2">
        <v>67414.380720088782</v>
      </c>
    </row>
    <row r="41" spans="2:13" x14ac:dyDescent="0.35">
      <c r="B41" s="2">
        <v>17500</v>
      </c>
      <c r="C41" s="2">
        <v>67412.448941199924</v>
      </c>
    </row>
    <row r="42" spans="2:13" x14ac:dyDescent="0.35">
      <c r="B42" s="2">
        <v>18000</v>
      </c>
      <c r="C42" s="2">
        <v>67404.479302258551</v>
      </c>
    </row>
    <row r="43" spans="2:13" x14ac:dyDescent="0.35">
      <c r="B43" s="2">
        <v>18500</v>
      </c>
      <c r="C43" s="2">
        <v>67390.686203385529</v>
      </c>
    </row>
    <row r="44" spans="2:13" x14ac:dyDescent="0.35">
      <c r="B44" s="2">
        <v>19000</v>
      </c>
      <c r="C44" s="2">
        <v>67371.271648643888</v>
      </c>
    </row>
    <row r="45" spans="2:13" x14ac:dyDescent="0.35">
      <c r="B45" s="2">
        <v>19500</v>
      </c>
      <c r="C45" s="2">
        <v>67346.426226811484</v>
      </c>
    </row>
    <row r="46" spans="2:13" x14ac:dyDescent="0.35">
      <c r="B46" s="2">
        <v>20000</v>
      </c>
      <c r="C46" s="2">
        <v>67316.329994583793</v>
      </c>
    </row>
    <row r="47" spans="2:13" x14ac:dyDescent="0.35">
      <c r="B47" s="2">
        <v>20500</v>
      </c>
      <c r="C47" s="2">
        <v>67281.153273814416</v>
      </c>
    </row>
    <row r="48" spans="2:13" x14ac:dyDescent="0.35">
      <c r="B48" s="2">
        <v>21000</v>
      </c>
      <c r="C48" s="2">
        <v>67241.057372803567</v>
      </c>
    </row>
    <row r="49" spans="2:3" x14ac:dyDescent="0.35">
      <c r="B49" s="2">
        <v>21500</v>
      </c>
      <c r="C49" s="2">
        <v>67196.195240294852</v>
      </c>
    </row>
    <row r="50" spans="2:3" x14ac:dyDescent="0.35">
      <c r="B50" s="2">
        <v>22000</v>
      </c>
      <c r="C50" s="2">
        <v>67146.7120596983</v>
      </c>
    </row>
    <row r="51" spans="2:3" x14ac:dyDescent="0.35">
      <c r="B51" s="2">
        <v>22500</v>
      </c>
      <c r="C51" s="2">
        <v>67092.745790084649</v>
      </c>
    </row>
    <row r="52" spans="2:3" x14ac:dyDescent="0.35">
      <c r="B52" s="2">
        <v>23000</v>
      </c>
      <c r="C52">
        <v>67034.427659664303</v>
      </c>
    </row>
    <row r="1048550" spans="16384:16384" x14ac:dyDescent="0.35">
      <c r="XFD1048550">
        <f>solver_pre</f>
        <v>9.9999999999999995E-7</v>
      </c>
    </row>
    <row r="1048551" spans="16384:16384" x14ac:dyDescent="0.35">
      <c r="XFD1048551">
        <f>solver_scl</f>
        <v>1</v>
      </c>
    </row>
    <row r="1048552" spans="16384:16384" x14ac:dyDescent="0.35">
      <c r="XFD1048552">
        <f>solver_rlx</f>
        <v>2</v>
      </c>
    </row>
    <row r="1048553" spans="16384:16384" x14ac:dyDescent="0.35">
      <c r="XFD1048553">
        <f>solver_tol</f>
        <v>0.01</v>
      </c>
    </row>
    <row r="1048554" spans="16384:16384" x14ac:dyDescent="0.35">
      <c r="XFD1048554">
        <f>solver_cvg</f>
        <v>1E-4</v>
      </c>
    </row>
    <row r="1048555" spans="16384:16384" x14ac:dyDescent="0.35">
      <c r="XFD1048555" t="e" cm="1">
        <f t="array" ref="XFD1048555">AREAS(solver_adj1)</f>
        <v>#NAME?</v>
      </c>
    </row>
    <row r="1048556" spans="16384:16384" x14ac:dyDescent="0.35">
      <c r="XFD1048556">
        <f>solver_ssz</f>
        <v>100</v>
      </c>
    </row>
    <row r="1048557" spans="16384:16384" x14ac:dyDescent="0.35">
      <c r="XFD1048557">
        <f>solver_rsd</f>
        <v>0</v>
      </c>
    </row>
    <row r="1048558" spans="16384:16384" x14ac:dyDescent="0.35">
      <c r="XFD1048558">
        <f>solver_mrt</f>
        <v>7.4999999999999997E-2</v>
      </c>
    </row>
    <row r="1048559" spans="16384:16384" x14ac:dyDescent="0.35">
      <c r="XFD1048559">
        <f>solver_mni</f>
        <v>30</v>
      </c>
    </row>
    <row r="1048560" spans="16384:16384" x14ac:dyDescent="0.35">
      <c r="XFD1048560">
        <f>solver_rbv</f>
        <v>1</v>
      </c>
    </row>
    <row r="1048561" spans="16384:16384" x14ac:dyDescent="0.35">
      <c r="XFD1048561">
        <f>solver_neg</f>
        <v>1</v>
      </c>
    </row>
    <row r="1048562" spans="16384:16384" x14ac:dyDescent="0.35">
      <c r="XFD1048562" t="e" cm="1">
        <f t="array" ref="XFD1048562">solver_ntr</f>
        <v>#NAME?</v>
      </c>
    </row>
    <row r="1048563" spans="16384:16384" x14ac:dyDescent="0.35">
      <c r="XFD1048563" t="e" cm="1">
        <f t="array" ref="XFD1048563">solver_acc</f>
        <v>#NAME?</v>
      </c>
    </row>
    <row r="1048564" spans="16384:16384" x14ac:dyDescent="0.35">
      <c r="XFD1048564" t="e" cm="1">
        <f t="array" ref="XFD1048564">solver_res</f>
        <v>#NAME?</v>
      </c>
    </row>
    <row r="1048565" spans="16384:16384" x14ac:dyDescent="0.35">
      <c r="XFD1048565" t="e" cm="1">
        <f t="array" ref="XFD1048565">solver_ars</f>
        <v>#NAME?</v>
      </c>
    </row>
    <row r="1048566" spans="16384:16384" x14ac:dyDescent="0.35">
      <c r="XFD1048566" t="e" cm="1">
        <f t="array" ref="XFD1048566">solver_sta</f>
        <v>#NAME?</v>
      </c>
    </row>
    <row r="1048567" spans="16384:16384" x14ac:dyDescent="0.35">
      <c r="XFD1048567" t="e" cm="1">
        <f t="array" ref="XFD1048567">solver_met</f>
        <v>#NAME?</v>
      </c>
    </row>
    <row r="1048568" spans="16384:16384" x14ac:dyDescent="0.35">
      <c r="XFD1048568" t="e" cm="1">
        <f t="array" ref="XFD1048568">solver_soc</f>
        <v>#NAME?</v>
      </c>
    </row>
    <row r="1048569" spans="16384:16384" x14ac:dyDescent="0.35">
      <c r="XFD1048569" t="e" cm="1">
        <f t="array" ref="XFD1048569">solver_lpt</f>
        <v>#NAME?</v>
      </c>
    </row>
    <row r="1048570" spans="16384:16384" x14ac:dyDescent="0.35">
      <c r="XFD1048570" t="e" cm="1">
        <f t="array" ref="XFD1048570">solver_lpp</f>
        <v>#NAME?</v>
      </c>
    </row>
    <row r="1048571" spans="16384:16384" x14ac:dyDescent="0.35">
      <c r="XFD1048571" t="e" cm="1">
        <f t="array" ref="XFD1048571">solver_gap</f>
        <v>#NAME?</v>
      </c>
    </row>
    <row r="1048572" spans="16384:16384" x14ac:dyDescent="0.35">
      <c r="XFD1048572" t="e" cm="1">
        <f t="array" ref="XFD1048572">solver_ips</f>
        <v>#NAME?</v>
      </c>
    </row>
    <row r="1048573" spans="16384:16384" x14ac:dyDescent="0.35">
      <c r="XFD1048573" t="e" cm="1">
        <f t="array" ref="XFD1048573">solver_fea</f>
        <v>#NAME?</v>
      </c>
    </row>
    <row r="1048574" spans="16384:16384" x14ac:dyDescent="0.35">
      <c r="XFD1048574" t="e" cm="1">
        <f t="array" ref="XFD1048574">solver_ipi</f>
        <v>#NAME?</v>
      </c>
    </row>
    <row r="1048575" spans="16384:16384" x14ac:dyDescent="0.35">
      <c r="XFD1048575" t="e" cm="1">
        <f t="array" ref="XFD1048575">solver_ipd</f>
        <v>#NAME?</v>
      </c>
    </row>
  </sheetData>
  <pageMargins left="0.7" right="0.7" top="0.75" bottom="0.75" header="0.3" footer="0.3"/>
  <pageSetup orientation="portrait" r:id="rId1"/>
  <drawing r:id="rId2"/>
  <legacyDrawing r:id="rId3"/>
  <extLst>
    <ext xmlns:x15="http://schemas.microsoft.com/office/spreadsheetml/2010/11/main" uri="{F7C9EE02-42E1-4005-9D12-6889AFFD525C}">
      <x15:webExtensions xmlns:xm="http://schemas.microsoft.com/office/excel/2006/main">
        <x15:webExtension appRef="{815453A6-76C4-4849-BA6F-25619EF706C6}">
          <xm:f>AdBudget!1:1048576</xm:f>
        </x15:webExtension>
        <x15:webExtension appRef="{0A379B73-F7DB-4E7C-B3D4-9BF04D39A62A}">
          <xm:f>AdBudget!XFD1048550:XFD1048575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2024-10-28T15:19:50Z</dcterms:modified>
</cp:coreProperties>
</file>