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Projetos4\Desktop\"/>
    </mc:Choice>
  </mc:AlternateContent>
  <xr:revisionPtr revIDLastSave="0" documentId="8_{FA81C740-4F01-41B6-BBB0-D8EC24A6D175}" xr6:coauthVersionLast="47" xr6:coauthVersionMax="47" xr10:uidLastSave="{00000000-0000-0000-0000-000000000000}"/>
  <bookViews>
    <workbookView xWindow="-28800" yWindow="0" windowWidth="29040" windowHeight="15600" firstSheet="1" activeTab="2" xr2:uid="{00000000-000D-0000-FFFF-FFFF00000000}"/>
  </bookViews>
  <sheets>
    <sheet name="2020_Despesa" sheetId="2" r:id="rId1"/>
    <sheet name="2021_Despesa" sheetId="3" r:id="rId2"/>
    <sheet name="2022_Despesa" sheetId="4" r:id="rId3"/>
  </sheets>
  <definedNames>
    <definedName name="RegiãoDeTítuloDaLinha1..O4">#REF!</definedName>
    <definedName name="Título1">#REF!</definedName>
    <definedName name="Título2">Despesas[[#Headers],[Categoria]]</definedName>
    <definedName name="_xlnm.Print_Titles" localSheetId="0">'2020_Despesa'!$1:$2</definedName>
  </definedNames>
  <calcPr calcId="191028"/>
  <webPublishing codePage="1252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4" l="1"/>
  <c r="H27" i="4"/>
  <c r="H37" i="4"/>
  <c r="H12" i="4"/>
  <c r="H15" i="4"/>
  <c r="H43" i="4"/>
  <c r="H25" i="4"/>
  <c r="G25" i="4"/>
  <c r="G12" i="4"/>
  <c r="G11" i="4"/>
  <c r="G13" i="4"/>
  <c r="G27" i="4"/>
  <c r="F60" i="4"/>
  <c r="G37" i="4"/>
  <c r="F29" i="4"/>
  <c r="F25" i="4"/>
  <c r="N61" i="4"/>
  <c r="F23" i="4"/>
  <c r="F12" i="4"/>
  <c r="F3" i="4"/>
  <c r="F26" i="4"/>
  <c r="F34" i="4"/>
  <c r="F36" i="4"/>
  <c r="F22" i="4"/>
  <c r="F13" i="4"/>
  <c r="F27" i="4"/>
  <c r="F38" i="4"/>
  <c r="E25" i="4"/>
  <c r="F15" i="4"/>
  <c r="F16" i="4"/>
  <c r="E37" i="4"/>
  <c r="E28" i="4"/>
  <c r="E27" i="4"/>
  <c r="E29" i="4"/>
  <c r="E12" i="4"/>
  <c r="E44" i="4"/>
  <c r="O44" i="4"/>
  <c r="E15" i="4"/>
  <c r="E23" i="4"/>
  <c r="E42" i="4"/>
  <c r="F21" i="4"/>
  <c r="E21" i="4"/>
  <c r="E16" i="4"/>
  <c r="E32" i="4"/>
  <c r="D17" i="4"/>
  <c r="D37" i="4"/>
  <c r="D25" i="4"/>
  <c r="D12" i="4"/>
  <c r="D27" i="4"/>
  <c r="D36" i="4"/>
  <c r="C59" i="4"/>
  <c r="D15" i="4"/>
  <c r="D28" i="4"/>
  <c r="N59" i="4"/>
  <c r="D42" i="4"/>
  <c r="D29" i="4"/>
  <c r="D18" i="4"/>
  <c r="C57" i="4"/>
  <c r="C60" i="4"/>
  <c r="D21" i="4"/>
  <c r="D16" i="4"/>
  <c r="C12" i="4"/>
  <c r="B60" i="4"/>
  <c r="C27" i="4"/>
  <c r="C25" i="4"/>
  <c r="O5" i="4"/>
  <c r="O6" i="4"/>
  <c r="O7" i="4"/>
  <c r="O8" i="4"/>
  <c r="O9" i="4"/>
  <c r="O10" i="4"/>
  <c r="O11" i="4"/>
  <c r="O14" i="4"/>
  <c r="O18" i="4"/>
  <c r="O19" i="4"/>
  <c r="O22" i="4"/>
  <c r="O24" i="4"/>
  <c r="O26" i="4"/>
  <c r="O28" i="4"/>
  <c r="O31" i="4"/>
  <c r="O32" i="4"/>
  <c r="O33" i="4"/>
  <c r="O38" i="4"/>
  <c r="O39" i="4"/>
  <c r="O40" i="4"/>
  <c r="O41" i="4"/>
  <c r="O42" i="4"/>
  <c r="O43" i="4"/>
  <c r="D3" i="4"/>
  <c r="C37" i="4"/>
  <c r="O37" i="4" s="1"/>
  <c r="O27" i="4"/>
  <c r="O12" i="4"/>
  <c r="C13" i="4"/>
  <c r="O13" i="4" s="1"/>
  <c r="C36" i="4"/>
  <c r="O36" i="4" s="1"/>
  <c r="C29" i="4"/>
  <c r="O29" i="4" s="1"/>
  <c r="C30" i="4"/>
  <c r="O30" i="4" s="1"/>
  <c r="O17" i="4"/>
  <c r="J81" i="4"/>
  <c r="N60" i="4"/>
  <c r="C4" i="4"/>
  <c r="O4" i="4" s="1"/>
  <c r="C23" i="4"/>
  <c r="O23" i="4" s="1"/>
  <c r="C16" i="4"/>
  <c r="O16" i="4" s="1"/>
  <c r="C15" i="4"/>
  <c r="O15" i="4" s="1"/>
  <c r="C34" i="4"/>
  <c r="O34" i="4" s="1"/>
  <c r="C35" i="4"/>
  <c r="O35" i="4" s="1"/>
  <c r="N38" i="3"/>
  <c r="C21" i="4"/>
  <c r="O21" i="4" s="1"/>
  <c r="O25" i="4"/>
  <c r="C20" i="4"/>
  <c r="O20" i="4" s="1"/>
  <c r="B81" i="4"/>
  <c r="B80" i="3"/>
  <c r="N6" i="3"/>
  <c r="N11" i="3"/>
  <c r="N25" i="3"/>
  <c r="N39" i="3"/>
  <c r="N12" i="3"/>
  <c r="N45" i="3"/>
  <c r="N32" i="3"/>
  <c r="N40" i="3"/>
  <c r="N14" i="3"/>
  <c r="N41" i="3"/>
  <c r="N21" i="3"/>
  <c r="N46" i="3"/>
  <c r="N34" i="3"/>
  <c r="N17" i="3"/>
  <c r="N4" i="3"/>
  <c r="N44" i="3"/>
  <c r="N33" i="3"/>
  <c r="N13" i="3"/>
  <c r="N23" i="3"/>
  <c r="N27" i="3"/>
  <c r="N15" i="3"/>
  <c r="N20" i="3"/>
  <c r="N29" i="3"/>
  <c r="O45" i="3"/>
  <c r="M20" i="3"/>
  <c r="O44" i="3"/>
  <c r="M66" i="4"/>
  <c r="L66" i="4"/>
  <c r="K66" i="4"/>
  <c r="J66" i="4"/>
  <c r="I66" i="4"/>
  <c r="H66" i="4"/>
  <c r="G66" i="4"/>
  <c r="F66" i="4"/>
  <c r="E66" i="4"/>
  <c r="D66" i="4"/>
  <c r="B66" i="4"/>
  <c r="N64" i="4"/>
  <c r="N63" i="4"/>
  <c r="N62" i="4"/>
  <c r="N58" i="4"/>
  <c r="N57" i="4"/>
  <c r="M27" i="3"/>
  <c r="M12" i="3"/>
  <c r="M39" i="3"/>
  <c r="M43" i="3"/>
  <c r="O43" i="3"/>
  <c r="M17" i="3"/>
  <c r="M31" i="3"/>
  <c r="M28" i="3"/>
  <c r="O42" i="3"/>
  <c r="O41" i="3"/>
  <c r="M46" i="3"/>
  <c r="M11" i="3"/>
  <c r="M16" i="3"/>
  <c r="M34" i="3"/>
  <c r="M30" i="3"/>
  <c r="L25" i="3"/>
  <c r="N64" i="3"/>
  <c r="N63" i="3"/>
  <c r="L40" i="3"/>
  <c r="O40" i="3"/>
  <c r="N62" i="3"/>
  <c r="L27" i="3"/>
  <c r="L39" i="3"/>
  <c r="L34" i="3"/>
  <c r="L31" i="3"/>
  <c r="L12" i="3"/>
  <c r="L13" i="3"/>
  <c r="L46" i="3"/>
  <c r="L28" i="3"/>
  <c r="L30" i="3"/>
  <c r="L15" i="3"/>
  <c r="L22" i="3"/>
  <c r="L29" i="3"/>
  <c r="C65" i="3"/>
  <c r="N65" i="3"/>
  <c r="K27" i="3"/>
  <c r="K31" i="3"/>
  <c r="K46" i="3"/>
  <c r="K25" i="3"/>
  <c r="K29" i="3"/>
  <c r="K12" i="3"/>
  <c r="K30" i="3"/>
  <c r="K39" i="3"/>
  <c r="O39" i="3"/>
  <c r="K36" i="3"/>
  <c r="K32" i="3"/>
  <c r="K13" i="3"/>
  <c r="O38" i="3"/>
  <c r="K16" i="3"/>
  <c r="K15" i="3"/>
  <c r="K28" i="3"/>
  <c r="K11" i="3"/>
  <c r="J31" i="3"/>
  <c r="J26" i="3"/>
  <c r="J36" i="3"/>
  <c r="J27" i="3"/>
  <c r="J12" i="3"/>
  <c r="J28" i="3"/>
  <c r="J46" i="3"/>
  <c r="J11" i="3"/>
  <c r="O46" i="3"/>
  <c r="O36" i="3"/>
  <c r="J23" i="3"/>
  <c r="J13" i="3"/>
  <c r="L20" i="3"/>
  <c r="K20" i="3"/>
  <c r="J20" i="3"/>
  <c r="I31" i="3"/>
  <c r="I27" i="3"/>
  <c r="I25" i="3"/>
  <c r="O37" i="3"/>
  <c r="O3" i="4"/>
  <c r="E45" i="4"/>
  <c r="N45" i="4"/>
  <c r="M45" i="4"/>
  <c r="L45" i="4"/>
  <c r="K45" i="4"/>
  <c r="J45" i="4"/>
  <c r="H45" i="4"/>
  <c r="F45" i="4"/>
  <c r="I45" i="4"/>
  <c r="D45" i="4"/>
  <c r="C45" i="4"/>
  <c r="G45" i="4"/>
  <c r="I20" i="3"/>
  <c r="C27" i="3"/>
  <c r="C12" i="3"/>
  <c r="C29" i="3"/>
  <c r="C31" i="3"/>
  <c r="C34" i="3"/>
  <c r="D27" i="3"/>
  <c r="D31" i="3"/>
  <c r="D25" i="3"/>
  <c r="D28" i="3"/>
  <c r="D29" i="3"/>
  <c r="O29" i="3" s="1"/>
  <c r="D12" i="3"/>
  <c r="E27" i="3"/>
  <c r="O35" i="3"/>
  <c r="E31" i="3"/>
  <c r="E30" i="3"/>
  <c r="F30" i="3"/>
  <c r="F31" i="3"/>
  <c r="O34" i="3"/>
  <c r="F13" i="3"/>
  <c r="F27" i="3"/>
  <c r="G31" i="3"/>
  <c r="G28" i="3"/>
  <c r="G27" i="3"/>
  <c r="G12" i="3"/>
  <c r="G11" i="3"/>
  <c r="O11" i="3" s="1"/>
  <c r="G30" i="3"/>
  <c r="H27" i="3"/>
  <c r="H31" i="3"/>
  <c r="H28" i="3"/>
  <c r="H30" i="3"/>
  <c r="H13" i="3"/>
  <c r="I28" i="3"/>
  <c r="I12" i="3"/>
  <c r="I13" i="3"/>
  <c r="O23" i="3"/>
  <c r="O3" i="3"/>
  <c r="O4" i="3"/>
  <c r="O5" i="3"/>
  <c r="O6" i="3"/>
  <c r="O7" i="3"/>
  <c r="O8" i="3"/>
  <c r="O9" i="3"/>
  <c r="O10" i="3"/>
  <c r="O14" i="3"/>
  <c r="O15" i="3"/>
  <c r="O16" i="3"/>
  <c r="O17" i="3"/>
  <c r="O18" i="3"/>
  <c r="O19" i="3"/>
  <c r="O20" i="3"/>
  <c r="O21" i="3"/>
  <c r="O22" i="3"/>
  <c r="O24" i="3"/>
  <c r="O26" i="3"/>
  <c r="O32" i="3"/>
  <c r="O33" i="3"/>
  <c r="M66" i="3"/>
  <c r="L66" i="3"/>
  <c r="K66" i="3"/>
  <c r="J66" i="3"/>
  <c r="I66" i="3"/>
  <c r="H66" i="3"/>
  <c r="G66" i="3"/>
  <c r="F66" i="3"/>
  <c r="E66" i="3"/>
  <c r="D66" i="3"/>
  <c r="B66" i="3"/>
  <c r="N61" i="3"/>
  <c r="N60" i="3"/>
  <c r="N47" i="3"/>
  <c r="M47" i="3"/>
  <c r="L47" i="3"/>
  <c r="K47" i="3"/>
  <c r="J47" i="3"/>
  <c r="E47" i="3"/>
  <c r="D47" i="3"/>
  <c r="C47" i="3"/>
  <c r="C47" i="2"/>
  <c r="M49" i="2"/>
  <c r="L49" i="2"/>
  <c r="K49" i="2"/>
  <c r="J49" i="2"/>
  <c r="I49" i="2"/>
  <c r="H49" i="2"/>
  <c r="G49" i="2"/>
  <c r="F49" i="2"/>
  <c r="E49" i="2"/>
  <c r="D49" i="2"/>
  <c r="C49" i="2"/>
  <c r="N48" i="2"/>
  <c r="N47" i="2"/>
  <c r="N49" i="2" s="1"/>
  <c r="B49" i="2"/>
  <c r="O32" i="2"/>
  <c r="O30" i="2"/>
  <c r="O31" i="2"/>
  <c r="O33" i="2"/>
  <c r="O27" i="2"/>
  <c r="O28" i="2"/>
  <c r="O29" i="2"/>
  <c r="O24" i="2"/>
  <c r="O25" i="2"/>
  <c r="O26" i="2"/>
  <c r="O19" i="2"/>
  <c r="O20" i="2"/>
  <c r="O21" i="2"/>
  <c r="O22" i="2"/>
  <c r="O23" i="2"/>
  <c r="O45" i="4" l="1"/>
  <c r="B83" i="4"/>
  <c r="F81" i="4"/>
  <c r="B56" i="3"/>
  <c r="B53" i="4"/>
  <c r="C56" i="3"/>
  <c r="C53" i="4"/>
  <c r="D56" i="3"/>
  <c r="D53" i="4"/>
  <c r="D54" i="4" s="1"/>
  <c r="I56" i="3"/>
  <c r="I57" i="3" s="1"/>
  <c r="I53" i="4"/>
  <c r="I54" i="4" s="1"/>
  <c r="J56" i="3"/>
  <c r="J53" i="4"/>
  <c r="J54" i="4" s="1"/>
  <c r="K56" i="3"/>
  <c r="K53" i="4"/>
  <c r="K54" i="4" s="1"/>
  <c r="L56" i="3"/>
  <c r="L53" i="4"/>
  <c r="L54" i="4" s="1"/>
  <c r="M56" i="3"/>
  <c r="M53" i="4"/>
  <c r="M54" i="4" s="1"/>
  <c r="B54" i="4"/>
  <c r="C66" i="4"/>
  <c r="C54" i="4" s="1"/>
  <c r="N65" i="4"/>
  <c r="N66" i="4" s="1"/>
  <c r="O25" i="3"/>
  <c r="O12" i="3"/>
  <c r="F47" i="3"/>
  <c r="H47" i="3"/>
  <c r="G47" i="3"/>
  <c r="O28" i="3"/>
  <c r="O13" i="3"/>
  <c r="O30" i="3"/>
  <c r="O31" i="3"/>
  <c r="O27" i="3"/>
  <c r="I47" i="3"/>
  <c r="K57" i="3"/>
  <c r="M57" i="3"/>
  <c r="N66" i="3"/>
  <c r="J57" i="3"/>
  <c r="D57" i="3"/>
  <c r="L57" i="3"/>
  <c r="B57" i="3"/>
  <c r="C66" i="3"/>
  <c r="C57" i="3" s="1"/>
  <c r="O9" i="2"/>
  <c r="O10" i="2"/>
  <c r="O11" i="2"/>
  <c r="O12" i="2"/>
  <c r="O13" i="2"/>
  <c r="O14" i="2"/>
  <c r="O15" i="2"/>
  <c r="O16" i="2"/>
  <c r="O17" i="2"/>
  <c r="O18" i="2"/>
  <c r="O8" i="2"/>
  <c r="O4" i="2"/>
  <c r="H56" i="3" l="1"/>
  <c r="H53" i="4"/>
  <c r="H54" i="4" s="1"/>
  <c r="F56" i="3"/>
  <c r="F57" i="3" s="1"/>
  <c r="F53" i="4"/>
  <c r="F54" i="4" s="1"/>
  <c r="G56" i="3"/>
  <c r="G57" i="3" s="1"/>
  <c r="G53" i="4"/>
  <c r="G54" i="4" s="1"/>
  <c r="E56" i="3"/>
  <c r="E57" i="3" s="1"/>
  <c r="E53" i="4"/>
  <c r="N56" i="3"/>
  <c r="O47" i="3"/>
  <c r="H57" i="3"/>
  <c r="C34" i="2"/>
  <c r="B43" i="2" s="1"/>
  <c r="E54" i="4" l="1"/>
  <c r="N54" i="4" s="1"/>
  <c r="N53" i="4"/>
  <c r="B44" i="2"/>
  <c r="N57" i="3"/>
  <c r="D34" i="2"/>
  <c r="C43" i="2" s="1"/>
  <c r="E34" i="2"/>
  <c r="D43" i="2" s="1"/>
  <c r="D44" i="2" s="1"/>
  <c r="F34" i="2"/>
  <c r="E43" i="2" s="1"/>
  <c r="E44" i="2" s="1"/>
  <c r="G34" i="2"/>
  <c r="F43" i="2" s="1"/>
  <c r="F44" i="2" s="1"/>
  <c r="H34" i="2"/>
  <c r="G43" i="2" s="1"/>
  <c r="G44" i="2" s="1"/>
  <c r="I34" i="2"/>
  <c r="H43" i="2" s="1"/>
  <c r="H44" i="2" s="1"/>
  <c r="J34" i="2"/>
  <c r="I43" i="2" s="1"/>
  <c r="I44" i="2" s="1"/>
  <c r="K34" i="2"/>
  <c r="J43" i="2" s="1"/>
  <c r="J44" i="2" s="1"/>
  <c r="L34" i="2"/>
  <c r="K43" i="2" s="1"/>
  <c r="K44" i="2" s="1"/>
  <c r="M34" i="2"/>
  <c r="L43" i="2" s="1"/>
  <c r="L44" i="2" s="1"/>
  <c r="N34" i="2"/>
  <c r="M43" i="2" s="1"/>
  <c r="M44" i="2" s="1"/>
  <c r="C44" i="2" l="1"/>
  <c r="N43" i="2"/>
  <c r="N44" i="2"/>
  <c r="O5" i="2"/>
  <c r="O6" i="2"/>
  <c r="O7" i="2"/>
  <c r="O3" i="2"/>
  <c r="O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tc={D19DBF7A-8522-4C48-9047-4AA1C308A766}</author>
    <author>tc={63CCFED3-6502-4863-8881-D777B7BE1DAA}</author>
    <author>tc={1019015F-B96A-4996-910D-68770FA1FD62}</author>
    <author>tc={1862D13F-0249-4C2F-9E79-48E78B4155FC}</author>
    <author>tc={6D50B977-4FFC-4104-BFE8-1EBB338475EE}</author>
    <author>tc={D86E6010-A931-4B54-ACF9-98031E289DB5}</author>
  </authors>
  <commentList>
    <comment ref="D40" authorId="0" shapeId="0" xr:uid="{D19DBF7A-8522-4C48-9047-4AA1C308A766}">
      <text>
        <r>
          <rPr>
            <sz val="1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817400000003.372822962026.202102222009.00277606600.9</t>
        </r>
      </text>
    </comment>
    <comment ref="E40" authorId="1" shapeId="0" xr:uid="{63CCFED3-6502-4863-8881-D777B7BE1DAA}">
      <text>
        <r>
          <rPr>
            <sz val="1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817800000009.372822962026.203112222005.002776073005</t>
        </r>
      </text>
    </comment>
    <comment ref="F40" authorId="2" shapeId="0" xr:uid="{1019015F-B96A-4996-910D-68770FA1FD62}">
      <text>
        <r>
          <rPr>
            <sz val="1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817000000007.372822962026.204112222003.002776081008</t>
        </r>
      </text>
    </comment>
    <comment ref="D41" authorId="3" shapeId="0" xr:uid="{1862D13F-0249-4C2F-9E79-48E78B4155FC}">
      <text>
        <r>
          <rPr>
            <sz val="1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23792.69307.90935.173311 03000.171409 1 88970000001912</t>
        </r>
      </text>
    </comment>
    <comment ref="E41" authorId="4" shapeId="0" xr:uid="{6D50B977-4FFC-4104-BFE8-1EBB338475EE}">
      <text>
        <r>
          <rPr>
            <sz val="1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23792.69307.90935.173329.03000.171409.4.89250000001910</t>
        </r>
      </text>
    </comment>
    <comment ref="F41" authorId="5" shapeId="0" xr:uid="{D86E6010-A931-4B54-ACF9-98031E289DB5}">
      <text>
        <r>
          <rPr>
            <sz val="1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23792.69307.90935.173337.03000.171409.1.89560000001910</t>
        </r>
      </text>
    </comment>
  </commentList>
</comments>
</file>

<file path=xl/sharedStrings.xml><?xml version="1.0" encoding="utf-8"?>
<sst xmlns="http://schemas.openxmlformats.org/spreadsheetml/2006/main" count="417" uniqueCount="128">
  <si>
    <t>Despesas</t>
  </si>
  <si>
    <t>Categoria</t>
  </si>
  <si>
    <t>Vencimento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</si>
  <si>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</si>
  <si>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</si>
  <si>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</si>
  <si>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</si>
  <si>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</si>
  <si>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</si>
  <si>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</si>
  <si>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</si>
  <si>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</si>
  <si>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</si>
  <si>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</si>
  <si>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</si>
  <si>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</si>
  <si>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Recovery</t>
  </si>
  <si>
    <t>Dia 14</t>
  </si>
  <si>
    <t>Seguro Carro</t>
  </si>
  <si>
    <t>Dia 15</t>
  </si>
  <si>
    <t>Anhaguera</t>
  </si>
  <si>
    <t>Dia 24</t>
  </si>
  <si>
    <t>Financiamento Carro</t>
  </si>
  <si>
    <t>Dia 27</t>
  </si>
  <si>
    <t>Licenciamento Carro</t>
  </si>
  <si>
    <t>Dia 30</t>
  </si>
  <si>
    <t>Dpvat Carro</t>
  </si>
  <si>
    <t>Dia 02</t>
  </si>
  <si>
    <t>Ipva Carro</t>
  </si>
  <si>
    <t>Dia 10</t>
  </si>
  <si>
    <t>Multas</t>
  </si>
  <si>
    <t>XXX</t>
  </si>
  <si>
    <t>Mecanico</t>
  </si>
  <si>
    <t>Dia 05</t>
  </si>
  <si>
    <t>Gasolina</t>
  </si>
  <si>
    <t>Lavação Carro</t>
  </si>
  <si>
    <t>Plano Celular</t>
  </si>
  <si>
    <t>Dia 20</t>
  </si>
  <si>
    <t>Conta Agua</t>
  </si>
  <si>
    <t>Dia 19</t>
  </si>
  <si>
    <t>Conta Luz</t>
  </si>
  <si>
    <t>Dia 06</t>
  </si>
  <si>
    <t>Academia</t>
  </si>
  <si>
    <t>Gas Cozinha</t>
  </si>
  <si>
    <t>Cartão Itaú</t>
  </si>
  <si>
    <t>Dia 11</t>
  </si>
  <si>
    <t>Cartão Nubank</t>
  </si>
  <si>
    <t>Conta Havan</t>
  </si>
  <si>
    <t>Plano Dental</t>
  </si>
  <si>
    <t>Cristian</t>
  </si>
  <si>
    <t>Chilaver(600)</t>
  </si>
  <si>
    <t>Trampo Gustavo</t>
  </si>
  <si>
    <t>Netflix</t>
  </si>
  <si>
    <t>Manuteção Itau</t>
  </si>
  <si>
    <t>Mercado</t>
  </si>
  <si>
    <t>Fatura Vivo</t>
  </si>
  <si>
    <t>Farmacia</t>
  </si>
  <si>
    <t>Gisele</t>
  </si>
  <si>
    <t>Total</t>
  </si>
  <si>
    <t>Despesas totais</t>
  </si>
  <si>
    <t>Diferença de caixa</t>
  </si>
  <si>
    <t>Renda</t>
  </si>
  <si>
    <t>Salários</t>
  </si>
  <si>
    <t>Projetos</t>
  </si>
  <si>
    <t>Dia 28</t>
  </si>
  <si>
    <t>Suplementos</t>
  </si>
  <si>
    <t>Corte Cabelo</t>
  </si>
  <si>
    <t>Milium</t>
  </si>
  <si>
    <t>Streaming</t>
  </si>
  <si>
    <t>Compras Online</t>
  </si>
  <si>
    <t>Lanches</t>
  </si>
  <si>
    <t>Farmacia/Medico</t>
  </si>
  <si>
    <t>Gisele Pix</t>
  </si>
  <si>
    <t>Presente</t>
  </si>
  <si>
    <t>Aniver./Churras</t>
  </si>
  <si>
    <t>Compras</t>
  </si>
  <si>
    <t>Declaração de I.R</t>
  </si>
  <si>
    <t>Veterinario</t>
  </si>
  <si>
    <t>Dentista Di</t>
  </si>
  <si>
    <t>Compras Casa</t>
  </si>
  <si>
    <t>Agropecuaria</t>
  </si>
  <si>
    <t>Entrada Casa</t>
  </si>
  <si>
    <t>Estacionamento</t>
  </si>
  <si>
    <t>Trampo Tiago</t>
  </si>
  <si>
    <t>Doação pro-rim</t>
  </si>
  <si>
    <t>Pneu Carro usado</t>
  </si>
  <si>
    <t>Financiamento Casa</t>
  </si>
  <si>
    <t>Dia 23</t>
  </si>
  <si>
    <t>Trimania</t>
  </si>
  <si>
    <t>Miller</t>
  </si>
  <si>
    <t>Ferias Miller</t>
  </si>
  <si>
    <t>13°miller</t>
  </si>
  <si>
    <t>13°gisele</t>
  </si>
  <si>
    <t>MILLER</t>
  </si>
  <si>
    <t>GISELE</t>
  </si>
  <si>
    <t>DIinheiro Nubank</t>
  </si>
  <si>
    <t>Dinheiro Guardado</t>
  </si>
  <si>
    <t>Dinheiro Itau</t>
  </si>
  <si>
    <t>Dinheiro Caixa</t>
  </si>
  <si>
    <t>Dinheiro C6</t>
  </si>
  <si>
    <t>Dinheiro Picpay</t>
  </si>
  <si>
    <t>Faculdade</t>
  </si>
  <si>
    <t>Dia 12</t>
  </si>
  <si>
    <t>Dia 07</t>
  </si>
  <si>
    <t>Dia 21</t>
  </si>
  <si>
    <t>Milium/ Mat.Cons.</t>
  </si>
  <si>
    <t>Netflix/tv/net</t>
  </si>
  <si>
    <t>Salgado Aniver.</t>
  </si>
  <si>
    <t>Taxas Casa</t>
  </si>
  <si>
    <t>Pet</t>
  </si>
  <si>
    <t>Cartão ITAU</t>
  </si>
  <si>
    <t>IPTU</t>
  </si>
  <si>
    <t>Taxa Lixo</t>
  </si>
  <si>
    <t>Cozinha Casa</t>
  </si>
  <si>
    <t>Kimono</t>
  </si>
  <si>
    <t>Roupeiro</t>
  </si>
  <si>
    <t>Meu PIX.</t>
  </si>
  <si>
    <t>082.654.729-00</t>
  </si>
  <si>
    <t>NUBANK</t>
  </si>
  <si>
    <t>CAIXA</t>
  </si>
  <si>
    <t>MILLERF.LESSA@GMAIL.COM</t>
  </si>
  <si>
    <t>ITAU</t>
  </si>
  <si>
    <t>Recisão</t>
  </si>
  <si>
    <t>Venda</t>
  </si>
  <si>
    <t>seguro</t>
  </si>
  <si>
    <t>dinheiro em casa</t>
  </si>
  <si>
    <t>Total Juntos</t>
  </si>
  <si>
    <t>Total C/ FGTS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</si>
</sst>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"/>
    <numFmt numFmtId="167" formatCode="&quot;R$&quot;\ #,##0.00"/>
  </numFmts>
  <fonts count="29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sz val="11"/>
      <color theme="3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8"/>
      <color rgb="FFFF0000"/>
      <name val="Calibri"/>
      <family val="2"/>
      <scheme val="major"/>
    </font>
    <font>
      <b/>
      <u/>
      <sz val="28"/>
      <color rgb="FFFF0000"/>
      <name val="Calibri"/>
      <family val="2"/>
      <scheme val="major"/>
    </font>
    <font>
      <sz val="11"/>
      <name val="Calibri"/>
      <scheme val="minor"/>
    </font>
    <font>
      <u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20"/>
      <color theme="3"/>
      <name val="Calibri"/>
      <family val="2"/>
      <scheme val="maj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3" fillId="4" borderId="2" applyNumberFormat="0" applyProtection="0">
      <alignment vertical="center"/>
    </xf>
    <xf numFmtId="0" fontId="4" fillId="3" borderId="1" applyNumberFormat="0" applyProtection="0">
      <alignment horizontal="center" vertical="center"/>
    </xf>
    <xf numFmtId="0" fontId="4" fillId="3" borderId="1" applyNumberFormat="0" applyProtection="0">
      <alignment vertical="center"/>
    </xf>
    <xf numFmtId="0" fontId="5" fillId="2" borderId="3" applyNumberFormat="0" applyProtection="0">
      <alignment vertical="center"/>
    </xf>
    <xf numFmtId="166" fontId="6" fillId="0" borderId="3" applyFill="0" applyBorder="0" applyAlignment="0" applyProtection="0">
      <alignment vertical="center"/>
    </xf>
    <xf numFmtId="166" fontId="6" fillId="2" borderId="3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5" applyNumberFormat="0" applyAlignment="0" applyProtection="0"/>
    <xf numFmtId="0" fontId="14" fillId="11" borderId="6" applyNumberFormat="0" applyAlignment="0" applyProtection="0"/>
    <xf numFmtId="0" fontId="15" fillId="11" borderId="5" applyNumberFormat="0" applyAlignment="0" applyProtection="0"/>
    <xf numFmtId="0" fontId="16" fillId="0" borderId="7" applyNumberFormat="0" applyFill="0" applyAlignment="0" applyProtection="0"/>
    <xf numFmtId="0" fontId="8" fillId="12" borderId="8" applyNumberFormat="0" applyAlignment="0" applyProtection="0"/>
    <xf numFmtId="0" fontId="17" fillId="0" borderId="0" applyNumberFormat="0" applyFill="0" applyBorder="0" applyAlignment="0" applyProtection="0"/>
    <xf numFmtId="0" fontId="9" fillId="13" borderId="9" applyNumberFormat="0" applyFont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8" fillId="0" borderId="0" applyNumberFormat="0" applyFill="0" applyBorder="0" applyAlignment="0" applyProtection="0">
      <alignment vertical="center" wrapText="1"/>
    </xf>
  </cellStyleXfs>
  <cellXfs count="41">
    <xf numFmtId="0" fontId="0" fillId="0" borderId="0" xfId="0">
      <alignment vertical="center" wrapText="1"/>
    </xf>
    <xf numFmtId="0" fontId="4" fillId="3" borderId="1" xfId="3">
      <alignment horizontal="center" vertical="center"/>
    </xf>
    <xf numFmtId="0" fontId="4" fillId="3" borderId="1" xfId="3" applyAlignment="1">
      <alignment horizontal="center" vertical="center" wrapText="1"/>
    </xf>
    <xf numFmtId="0" fontId="3" fillId="4" borderId="2" xfId="2">
      <alignment vertical="center"/>
    </xf>
    <xf numFmtId="0" fontId="8" fillId="0" borderId="1" xfId="4" applyFont="1" applyFill="1">
      <alignment vertical="center"/>
    </xf>
    <xf numFmtId="0" fontId="8" fillId="0" borderId="1" xfId="3" applyFont="1" applyFill="1" applyAlignment="1">
      <alignment vertical="center"/>
    </xf>
    <xf numFmtId="166" fontId="6" fillId="2" borderId="3" xfId="7" applyFill="1">
      <alignment vertical="center"/>
    </xf>
    <xf numFmtId="166" fontId="6" fillId="2" borderId="3" xfId="6" applyFill="1">
      <alignment vertical="center"/>
    </xf>
    <xf numFmtId="166" fontId="6" fillId="0" borderId="3" xfId="7" applyFill="1">
      <alignment vertical="center"/>
    </xf>
    <xf numFmtId="166" fontId="6" fillId="0" borderId="3" xfId="6">
      <alignment vertical="center"/>
    </xf>
    <xf numFmtId="166" fontId="6" fillId="0" borderId="0" xfId="0" applyNumberFormat="1" applyFont="1">
      <alignment vertical="center" wrapText="1"/>
    </xf>
    <xf numFmtId="166" fontId="6" fillId="0" borderId="3" xfId="0" applyNumberFormat="1" applyFont="1" applyBorder="1" applyAlignment="1">
      <alignment vertical="center"/>
    </xf>
    <xf numFmtId="166" fontId="0" fillId="0" borderId="0" xfId="0" applyNumberFormat="1">
      <alignment vertical="center" wrapText="1"/>
    </xf>
    <xf numFmtId="0" fontId="2" fillId="0" borderId="0" xfId="1" applyNumberFormat="1" applyAlignment="1">
      <alignment vertical="center"/>
    </xf>
    <xf numFmtId="0" fontId="3" fillId="4" borderId="2" xfId="2" applyAlignment="1">
      <alignment horizontal="center" vertical="center"/>
    </xf>
    <xf numFmtId="0" fontId="8" fillId="0" borderId="1" xfId="4" applyFont="1" applyFill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3" xfId="5" applyNumberFormat="1" applyAlignment="1">
      <alignment horizontal="center" vertical="center" wrapText="1"/>
    </xf>
    <xf numFmtId="167" fontId="9" fillId="0" borderId="0" xfId="7" applyNumberFormat="1" applyFont="1" applyFill="1" applyBorder="1" applyAlignment="1">
      <alignment vertical="center" wrapText="1"/>
    </xf>
    <xf numFmtId="167" fontId="19" fillId="0" borderId="3" xfId="6" applyNumberFormat="1" applyFont="1">
      <alignment vertical="center"/>
    </xf>
    <xf numFmtId="167" fontId="0" fillId="0" borderId="0" xfId="7" applyNumberFormat="1" applyFont="1" applyFill="1" applyBorder="1" applyAlignment="1">
      <alignment vertical="center" wrapText="1"/>
    </xf>
    <xf numFmtId="167" fontId="20" fillId="0" borderId="0" xfId="0" applyNumberFormat="1" applyFont="1">
      <alignment vertical="center" wrapText="1"/>
    </xf>
    <xf numFmtId="167" fontId="21" fillId="0" borderId="0" xfId="7" applyNumberFormat="1" applyFont="1" applyFill="1" applyBorder="1" applyAlignment="1">
      <alignment vertical="center" wrapText="1"/>
    </xf>
    <xf numFmtId="167" fontId="17" fillId="0" borderId="0" xfId="7" applyNumberFormat="1" applyFont="1" applyFill="1" applyBorder="1" applyAlignment="1">
      <alignment vertical="center" wrapText="1"/>
    </xf>
    <xf numFmtId="0" fontId="22" fillId="4" borderId="2" xfId="2" applyFont="1" applyAlignment="1">
      <alignment horizontal="center" vertical="center"/>
    </xf>
    <xf numFmtId="0" fontId="23" fillId="4" borderId="2" xfId="2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>
      <alignment vertical="center" wrapText="1"/>
    </xf>
    <xf numFmtId="167" fontId="26" fillId="0" borderId="0" xfId="7" applyNumberFormat="1" applyFont="1" applyFill="1" applyBorder="1" applyAlignment="1">
      <alignment vertical="center" wrapText="1"/>
    </xf>
    <xf numFmtId="167" fontId="25" fillId="0" borderId="0" xfId="7" applyNumberFormat="1" applyFont="1" applyFill="1" applyBorder="1" applyAlignment="1">
      <alignment vertical="center" wrapText="1"/>
    </xf>
    <xf numFmtId="166" fontId="6" fillId="0" borderId="0" xfId="7" applyFill="1" applyBorder="1" applyAlignment="1">
      <alignment vertical="center" wrapText="1"/>
    </xf>
    <xf numFmtId="0" fontId="27" fillId="0" borderId="0" xfId="1" applyNumberFormat="1" applyFont="1" applyAlignment="1">
      <alignment vertical="center"/>
    </xf>
    <xf numFmtId="167" fontId="21" fillId="38" borderId="0" xfId="7" applyNumberFormat="1" applyFont="1" applyFill="1" applyBorder="1" applyAlignment="1">
      <alignment vertical="center" wrapText="1"/>
    </xf>
    <xf numFmtId="167" fontId="0" fillId="0" borderId="0" xfId="0" applyNumberFormat="1">
      <alignment vertical="center" wrapText="1"/>
    </xf>
    <xf numFmtId="14" fontId="0" fillId="0" borderId="0" xfId="0" applyNumberFormat="1">
      <alignment vertical="center" wrapText="1"/>
    </xf>
    <xf numFmtId="0" fontId="28" fillId="0" borderId="0" xfId="48" applyAlignment="1">
      <alignment horizontal="center" vertical="center" wrapText="1"/>
    </xf>
    <xf numFmtId="0" fontId="2" fillId="0" borderId="2" xfId="1" applyNumberFormat="1" applyBorder="1" applyAlignment="1">
      <alignment vertical="center"/>
    </xf>
    <xf numFmtId="0" fontId="0" fillId="0" borderId="0" xfId="0" applyAlignment="1">
      <alignment horizontal="center" vertical="center" wrapText="1"/>
    </xf>
  </cellXfs>
  <cellStyles count="49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7" builtinId="20" customBuiltin="1"/>
    <cellStyle name="Hyperlink" xfId="48" xr:uid="{00000000-000B-0000-0000-000008000000}"/>
    <cellStyle name="Moeda" xfId="11" builtinId="4" customBuiltin="1"/>
    <cellStyle name="Moeda [0]" xfId="12" builtinId="7" customBuiltin="1"/>
    <cellStyle name="Montante" xfId="7" xr:uid="{00000000-0005-0000-0000-000000000000}"/>
    <cellStyle name="Neutro" xfId="16" builtinId="28" customBuiltin="1"/>
    <cellStyle name="Normal" xfId="0" builtinId="0" customBuiltin="1"/>
    <cellStyle name="Nota" xfId="23" builtinId="10" customBuiltin="1"/>
    <cellStyle name="Porcentagem" xfId="13" builtinId="5" customBuiltin="1"/>
    <cellStyle name="Ruim" xfId="15" builtinId="27" customBuiltin="1"/>
    <cellStyle name="Saída" xfId="18" builtinId="21" customBuiltin="1"/>
    <cellStyle name="Separador de milhares [0]" xfId="10" builtinId="6" customBuiltin="1"/>
    <cellStyle name="Texto de Aviso" xfId="22" builtinId="11" customBuiltin="1"/>
    <cellStyle name="Texto Explicativo" xfId="8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6" builtinId="25" customBuiltin="1"/>
    <cellStyle name="Vírgula" xfId="9" builtinId="3" customBuiltin="1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numFmt numFmtId="166" formatCode="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border>
        <vertical style="thin">
          <color theme="6" tint="0.39994506668294322"/>
        </vertical>
      </border>
    </dxf>
    <dxf>
      <fill>
        <patternFill>
          <bgColor theme="7" tint="0.79998168889431442"/>
        </patternFill>
      </fill>
      <border>
        <bottom style="thin">
          <color theme="0"/>
        </bottom>
        <vertical style="thin">
          <color theme="6" tint="0.39994506668294322"/>
        </vertical>
        <horizontal/>
      </border>
    </dxf>
    <dxf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</dxfs>
  <tableStyles count="1" defaultTableStyle="TableStyleMedium2" defaultPivotStyle="PivotStyleLight16">
    <tableStyle name="Expense" pivot="0" count="5" xr9:uid="{00000000-0011-0000-FFFF-FFFF00000000}">
      <tableStyleElement type="wholeTable" dxfId="148"/>
      <tableStyleElement type="headerRow" dxfId="147"/>
      <tableStyleElement type="totalRow" dxfId="146"/>
      <tableStyleElement type="firstRowStripe" dxfId="145"/>
      <tableStyleElement type="secondRowStripe" dxfId="14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LLER LESSA" id="{83E22C9B-5AC4-4A66-BB91-B92822104172}" userId="03774fca50ec2fd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spesas" displayName="Despesas" ref="A2:O34" totalsRowCount="1" headerRowDxfId="143" headerRowBorderDxfId="142">
  <autoFilter ref="A2:O33" xr:uid="{00000000-0009-0000-0100-000001000000}"/>
  <tableColumns count="15">
    <tableColumn id="15" xr3:uid="{00000000-0010-0000-0100-00000F000000}" name="Categoria" totalsRowLabel="Total" dataDxfId="141" totalsRowDxfId="140"/>
    <tableColumn id="1" xr3:uid="{00000000-0010-0000-0100-000001000000}" name="Vencimento" dataDxfId="139"/>
    <tableColumn id="2" xr3:uid="{00000000-0010-0000-0100-000002000000}" name="Jan" totalsRowFunction="sum" dataDxfId="138" totalsRowDxfId="137" dataCellStyle="Montante"/>
    <tableColumn id="3" xr3:uid="{00000000-0010-0000-0100-000003000000}" name="Fev" totalsRowFunction="sum" dataDxfId="136" totalsRowDxfId="135" dataCellStyle="Montante"/>
    <tableColumn id="4" xr3:uid="{00000000-0010-0000-0100-000004000000}" name="Mar" totalsRowFunction="sum" dataDxfId="134" totalsRowDxfId="133" dataCellStyle="Montante"/>
    <tableColumn id="5" xr3:uid="{00000000-0010-0000-0100-000005000000}" name="Abr" totalsRowFunction="sum" dataDxfId="132" totalsRowDxfId="131" dataCellStyle="Montante"/>
    <tableColumn id="6" xr3:uid="{00000000-0010-0000-0100-000006000000}" name="Mai" totalsRowFunction="sum" dataDxfId="130" totalsRowDxfId="129" dataCellStyle="Montante"/>
    <tableColumn id="7" xr3:uid="{00000000-0010-0000-0100-000007000000}" name="Jun" totalsRowFunction="sum" dataDxfId="128" totalsRowDxfId="127" dataCellStyle="Montante"/>
    <tableColumn id="8" xr3:uid="{00000000-0010-0000-0100-000008000000}" name="Jul" totalsRowFunction="sum" dataDxfId="126" totalsRowDxfId="125" dataCellStyle="Montante"/>
    <tableColumn id="9" xr3:uid="{00000000-0010-0000-0100-000009000000}" name="Ago" totalsRowFunction="sum" dataDxfId="124" totalsRowDxfId="123" dataCellStyle="Montante"/>
    <tableColumn id="10" xr3:uid="{00000000-0010-0000-0100-00000A000000}" name="Set" totalsRowFunction="sum" dataDxfId="122" totalsRowDxfId="121" dataCellStyle="Montante"/>
    <tableColumn id="11" xr3:uid="{00000000-0010-0000-0100-00000B000000}" name="Out" totalsRowFunction="sum" dataDxfId="120" totalsRowDxfId="119" dataCellStyle="Montante"/>
    <tableColumn id="12" xr3:uid="{00000000-0010-0000-0100-00000C000000}" name="Nov" totalsRowFunction="sum" dataDxfId="118" totalsRowDxfId="117" dataCellStyle="Montante"/>
    <tableColumn id="13" xr3:uid="{00000000-0010-0000-0100-00000D000000}" name="Dez" totalsRowFunction="sum" dataDxfId="116" totalsRowDxfId="115" dataCellStyle="Montante"/>
    <tableColumn id="14" xr3:uid="{00000000-0010-0000-0100-00000E000000}" name="Ano" totalsRowFunction="sum" dataDxfId="114" totalsRowDxfId="113" dataCellStyle="Total"/>
  </tableColumns>
  <tableStyleInfo name="Expense" showFirstColumn="0" showLastColumn="0" showRowStripes="1" showColumnStripes="0"/>
  <extLst>
    <ext xmlns:x14="http://schemas.microsoft.com/office/spreadsheetml/2009/9/main" uri="{504A1905-F514-4f6f-8877-14C23A59335A}">
      <x14:table altTextSummary="Insira as despesas em cada mês e categoria nesta tabela. As despesas anuais são calculadas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4AFF8F-547B-484A-B502-F0F3BEFF784A}" name="Renda5" displayName="Renda5" ref="A46:N49" totalsRowCount="1" headerRowBorderDxfId="112" headerRowCellStyle="Normal" dataCellStyle="Normal" totalsRowCellStyle="Normal">
  <autoFilter ref="A46:N48" xr:uid="{544AFF8F-547B-484A-B502-F0F3BEFF784A}"/>
  <tableColumns count="14">
    <tableColumn id="1" xr3:uid="{F6FB9515-1734-481E-85D3-1D9C88924C66}" name="Categoria" totalsRowLabel="Total" dataDxfId="111" totalsRowDxfId="110"/>
    <tableColumn id="2" xr3:uid="{559615EF-51A5-42FD-B93D-29F89E6F1B44}" name="Jan" totalsRowFunction="sum" totalsRowDxfId="109" dataCellStyle="Montante"/>
    <tableColumn id="3" xr3:uid="{3F443E54-CF4F-4C38-89B6-461F9F9D8954}" name="Fev" totalsRowFunction="sum" dataDxfId="108" totalsRowDxfId="107" dataCellStyle="Montante">
      <calculatedColumnFormula>1906+1000+900</calculatedColumnFormula>
    </tableColumn>
    <tableColumn id="4" xr3:uid="{ABAB7BE7-1655-4BBA-9FC1-2391865080E9}" name="Mar" totalsRowFunction="sum" totalsRowDxfId="106" dataCellStyle="Montante"/>
    <tableColumn id="5" xr3:uid="{94A717F9-41EB-41DB-A5F1-96506076AFA9}" name="Abr" totalsRowFunction="sum" totalsRowDxfId="105" dataCellStyle="Montante"/>
    <tableColumn id="6" xr3:uid="{F9061614-C912-41D1-834E-77414BBCC614}" name="Mai" totalsRowFunction="sum" totalsRowDxfId="104" dataCellStyle="Montante"/>
    <tableColumn id="7" xr3:uid="{CF0598E6-F226-48B1-B2E3-C6C79E7982F8}" name="Jun" totalsRowFunction="sum" totalsRowDxfId="103" dataCellStyle="Montante"/>
    <tableColumn id="8" xr3:uid="{0D75C1D2-CAC6-45F2-AF3D-DADB856DDC91}" name="Jul" totalsRowFunction="sum" totalsRowDxfId="102" dataCellStyle="Montante"/>
    <tableColumn id="9" xr3:uid="{020E5E3A-7742-49A3-94DE-ABBEE52AC620}" name="Ago" totalsRowFunction="sum" totalsRowDxfId="101" dataCellStyle="Montante"/>
    <tableColumn id="10" xr3:uid="{AB67E685-0531-4378-8206-BE4401DD888D}" name="Set" totalsRowFunction="sum" totalsRowDxfId="100" dataCellStyle="Montante"/>
    <tableColumn id="11" xr3:uid="{B3CF004C-76E5-40CC-A0D0-B2451754D3D5}" name="Out" totalsRowFunction="sum" totalsRowDxfId="99" dataCellStyle="Montante"/>
    <tableColumn id="12" xr3:uid="{4F782960-CE68-4503-AC1A-4D5CFE6458D0}" name="Nov" totalsRowFunction="sum" totalsRowDxfId="98" dataCellStyle="Montante"/>
    <tableColumn id="13" xr3:uid="{4C8CB560-171F-490B-A00F-1A72E4DEC95B}" name="Dez" totalsRowFunction="sum" totalsRowDxfId="97" dataCellStyle="Montante"/>
    <tableColumn id="15" xr3:uid="{DDA4DE7A-C83E-4E1E-A002-2669C70C7964}" name="Ano" totalsRowFunction="sum" totalsRowDxfId="96" dataCellStyle="Total">
      <calculatedColumnFormula>SUM(Renda5[[#This Row],[Jan]:[Dez]])</calculatedColumnFormula>
    </tableColumn>
  </tableColumns>
  <tableStyleInfo name="Expense" showFirstColumn="0" showLastColumn="0" showRowStripes="1" showColumnStripes="1"/>
  <extLst>
    <ext xmlns:x14="http://schemas.microsoft.com/office/spreadsheetml/2009/9/main" uri="{504A1905-F514-4f6f-8877-14C23A59335A}">
      <x14:table altTextSummary="Insira a Renda das várias fontes em cada mês nesta tabela. A renda anual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70772-15D8-4AC5-A9BD-31E96D6F4BB2}" name="Despesas6" displayName="Despesas6" ref="A2:O47" totalsRowCount="1" headerRowDxfId="95" headerRowBorderDxfId="94">
  <autoFilter ref="A2:O46" xr:uid="{EFA70772-15D8-4AC5-A9BD-31E96D6F4BB2}"/>
  <tableColumns count="15">
    <tableColumn id="15" xr3:uid="{C34F6A43-2BF3-4198-A38D-524E67ED2572}" name="Categoria" totalsRowLabel="Total" dataDxfId="93" totalsRowDxfId="92"/>
    <tableColumn id="1" xr3:uid="{87CBA266-B789-4F25-A9E7-F8C30B74A8D9}" name="Vencimento" dataDxfId="91"/>
    <tableColumn id="2" xr3:uid="{887C7BA9-0590-46D3-B53C-8CDED35AC36E}" name="Jan" totalsRowFunction="sum" dataDxfId="90" totalsRowDxfId="89" dataCellStyle="Montante"/>
    <tableColumn id="3" xr3:uid="{CAB75134-48D8-4BC5-9929-05BD474E5E54}" name="Fev" totalsRowFunction="sum" dataDxfId="88" totalsRowDxfId="87" dataCellStyle="Montante"/>
    <tableColumn id="4" xr3:uid="{32D279E4-5905-4ACC-A08F-327CFCDA9411}" name="Mar" totalsRowFunction="sum" dataDxfId="86" totalsRowDxfId="85" dataCellStyle="Montante"/>
    <tableColumn id="5" xr3:uid="{9F18D7B2-31A7-4088-8509-15D6524E510F}" name="Abr" totalsRowFunction="sum" dataDxfId="84" totalsRowDxfId="83" dataCellStyle="Montante"/>
    <tableColumn id="6" xr3:uid="{9CFCA479-1363-4361-A9BA-154D31EAD59B}" name="Mai" totalsRowFunction="sum" dataDxfId="82" totalsRowDxfId="81" dataCellStyle="Montante"/>
    <tableColumn id="7" xr3:uid="{A5C6B4FD-1B9F-4911-90D6-DB76AA53A01A}" name="Jun" totalsRowFunction="sum" dataDxfId="80" totalsRowDxfId="79" dataCellStyle="Montante"/>
    <tableColumn id="8" xr3:uid="{543AE287-5FE8-4800-9FDE-59C4AAE85AED}" name="Jul" totalsRowFunction="sum" dataDxfId="78" totalsRowDxfId="77" dataCellStyle="Montante"/>
    <tableColumn id="9" xr3:uid="{94E3C943-37DB-41B1-B20A-E6997B73D646}" name="Ago" totalsRowFunction="sum" dataDxfId="76" totalsRowDxfId="75" dataCellStyle="Montante"/>
    <tableColumn id="10" xr3:uid="{BCCD10AB-A3BF-4E83-885B-3F6358F8C52E}" name="Set" totalsRowFunction="sum" dataDxfId="74" totalsRowDxfId="73" dataCellStyle="Montante"/>
    <tableColumn id="11" xr3:uid="{77DCA8CD-CB92-44E1-A176-8566A9C51DDF}" name="Out" totalsRowFunction="sum" dataDxfId="72" totalsRowDxfId="71" dataCellStyle="Montante"/>
    <tableColumn id="12" xr3:uid="{D8205676-D605-4694-8236-8934A004E8C7}" name="Nov" totalsRowFunction="sum" dataDxfId="70" totalsRowDxfId="69" dataCellStyle="Montante"/>
    <tableColumn id="13" xr3:uid="{E4E2294E-EA79-445B-BD72-E10060C9534D}" name="Dez" totalsRowFunction="sum" dataDxfId="68" totalsRowDxfId="67" dataCellStyle="Montante">
      <calculatedColumnFormula>24.9</calculatedColumnFormula>
    </tableColumn>
    <tableColumn id="14" xr3:uid="{D1B6A964-4AA1-4D5D-B9F4-18596A04CA23}" name="Ano" totalsRowFunction="sum" dataDxfId="66" totalsRowDxfId="65" dataCellStyle="Total">
      <calculatedColumnFormula>SUM('2021_Despesa'!$C3:$N3)</calculatedColumnFormula>
    </tableColumn>
  </tableColumns>
  <tableStyleInfo name="Expense" showFirstColumn="0" showLastColumn="0" showRowStripes="1" showColumnStripes="0"/>
  <extLst>
    <ext xmlns:x14="http://schemas.microsoft.com/office/spreadsheetml/2009/9/main" uri="{504A1905-F514-4f6f-8877-14C23A59335A}">
      <x14:table altTextSummary="Insira as despesas em cada mês e categoria nesta tabela. As despesas anuais são calculadas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02497A-F240-4977-B569-B9A1E44EB7EF}" name="Renda57" displayName="Renda57" ref="A59:N66" totalsRowCount="1" headerRowBorderDxfId="64" headerRowCellStyle="Normal" dataCellStyle="Normal" totalsRowCellStyle="Normal">
  <autoFilter ref="A59:N65" xr:uid="{6C02497A-F240-4977-B569-B9A1E44EB7EF}"/>
  <tableColumns count="14">
    <tableColumn id="1" xr3:uid="{D8CE0DB3-C286-42F5-8C73-C6DA4A84DC0D}" name="Categoria" totalsRowLabel="Total" dataDxfId="63" totalsRowDxfId="62"/>
    <tableColumn id="2" xr3:uid="{7DB94204-8EA4-4CFB-AA60-0DA310FFA665}" name="Jan" totalsRowFunction="sum" totalsRowDxfId="61" dataCellStyle="Montante"/>
    <tableColumn id="3" xr3:uid="{CAB6FEFB-37A8-469A-A6A2-3F63A6C48B7A}" name="Fev" totalsRowFunction="sum" dataDxfId="60" totalsRowDxfId="59" dataCellStyle="Montante"/>
    <tableColumn id="4" xr3:uid="{380586B4-40FE-4D24-848E-89C1AA19D62C}" name="Mar" totalsRowFunction="sum" totalsRowDxfId="58" dataCellStyle="Montante"/>
    <tableColumn id="5" xr3:uid="{07F8DBB6-4238-41DE-9D92-3CDBC83CE43B}" name="Abr" totalsRowFunction="sum" totalsRowDxfId="57" dataCellStyle="Montante"/>
    <tableColumn id="6" xr3:uid="{AF2C51A4-1296-457D-BD3D-7431E994F38C}" name="Mai" totalsRowFunction="sum" totalsRowDxfId="56" dataCellStyle="Montante"/>
    <tableColumn id="7" xr3:uid="{0394821A-CB86-4257-B8D0-4E75F2E0E673}" name="Jun" totalsRowFunction="sum" totalsRowDxfId="55" dataCellStyle="Montante"/>
    <tableColumn id="8" xr3:uid="{3EEBC156-D5B2-4C82-AB76-C30C7ABA7033}" name="Jul" totalsRowFunction="sum" totalsRowDxfId="54" dataCellStyle="Montante"/>
    <tableColumn id="9" xr3:uid="{B037FC8B-653F-4397-ACCB-07DF070F64EE}" name="Ago" totalsRowFunction="sum" totalsRowDxfId="53" dataCellStyle="Montante"/>
    <tableColumn id="10" xr3:uid="{B4AB030E-5917-4559-8229-DB7925F90038}" name="Set" totalsRowFunction="sum" totalsRowDxfId="52" dataCellStyle="Montante"/>
    <tableColumn id="11" xr3:uid="{73CED494-E989-4ACE-BC34-E3913027D7F5}" name="Out" totalsRowFunction="sum" totalsRowDxfId="51" dataCellStyle="Montante"/>
    <tableColumn id="12" xr3:uid="{755A5DD7-54A0-49F0-A873-58D85A025FBD}" name="Nov" totalsRowFunction="sum" totalsRowDxfId="50" dataCellStyle="Montante"/>
    <tableColumn id="13" xr3:uid="{2FA3E903-14E9-44F4-BAEE-EBD9E1E9A5A6}" name="Dez" totalsRowFunction="sum" totalsRowDxfId="49" dataCellStyle="Montante"/>
    <tableColumn id="15" xr3:uid="{7A8D8F99-5002-44BD-AD18-01A3AAD5F82D}" name="Ano" totalsRowFunction="sum" totalsRowDxfId="48" dataCellStyle="Total">
      <calculatedColumnFormula>SUM(Renda57[[#This Row],[Jan]:[Dez]])</calculatedColumnFormula>
    </tableColumn>
  </tableColumns>
  <tableStyleInfo name="Expense" showFirstColumn="0" showLastColumn="0" showRowStripes="1" showColumnStripes="1"/>
  <extLst>
    <ext xmlns:x14="http://schemas.microsoft.com/office/spreadsheetml/2009/9/main" uri="{504A1905-F514-4f6f-8877-14C23A59335A}">
      <x14:table altTextSummary="Insira a Renda das várias fontes em cada mês nesta tabela. A renda anual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2B4AB-5DFC-4366-BA41-5281F770183A}" name="Despesas63" displayName="Despesas63" ref="A2:O45" totalsRowCount="1" headerRowDxfId="47" headerRowBorderDxfId="46">
  <autoFilter ref="A2:O44" xr:uid="{0C92B4AB-5DFC-4366-BA41-5281F770183A}"/>
  <tableColumns count="15">
    <tableColumn id="15" xr3:uid="{E64C612F-96D3-402F-B84F-661A84271F11}" name="Categoria" totalsRowLabel="Total" dataDxfId="45" totalsRowDxfId="44"/>
    <tableColumn id="1" xr3:uid="{BF842314-AA0F-4A8D-BF80-7E8985CAFBC3}" name="Vencimento" dataDxfId="43"/>
    <tableColumn id="2" xr3:uid="{23E6F927-180F-4F98-B071-AFE093BB1E8C}" name="Jan" totalsRowFunction="sum" dataDxfId="42" totalsRowDxfId="41" dataCellStyle="Montante"/>
    <tableColumn id="3" xr3:uid="{E7BE99D2-3AA7-4556-BA73-7F4E007A9767}" name="Fev" totalsRowFunction="sum" dataDxfId="40" totalsRowDxfId="39" dataCellStyle="Montante"/>
    <tableColumn id="4" xr3:uid="{F6367872-C277-4B1C-9F31-26DC5069FEEE}" name="Mar" totalsRowFunction="sum" dataDxfId="38" totalsRowDxfId="37" dataCellStyle="Montante"/>
    <tableColumn id="5" xr3:uid="{843A38FA-B9B9-483E-AB77-0DF79F0C3941}" name="Abr" totalsRowFunction="sum" dataDxfId="36" totalsRowDxfId="35" dataCellStyle="Montante"/>
    <tableColumn id="6" xr3:uid="{98B26C01-C571-430F-AB6B-BC17FEC119E3}" name="Mai" totalsRowFunction="sum" dataDxfId="34" totalsRowDxfId="33" dataCellStyle="Montante"/>
    <tableColumn id="7" xr3:uid="{42877EF1-B6D6-497D-8AF0-E7D4197EF583}" name="Jun" totalsRowFunction="sum" dataDxfId="32" totalsRowDxfId="31" dataCellStyle="Montante"/>
    <tableColumn id="8" xr3:uid="{100232D5-C8D6-49B6-B6A2-B8D0E03808F0}" name="Jul" totalsRowFunction="sum" dataDxfId="30" totalsRowDxfId="29" dataCellStyle="Montante"/>
    <tableColumn id="9" xr3:uid="{EC4E9547-2625-4306-9556-C959B537529B}" name="Ago" totalsRowFunction="sum" dataDxfId="28" totalsRowDxfId="27" dataCellStyle="Montante"/>
    <tableColumn id="10" xr3:uid="{1475B4A4-C49C-400F-B124-71EE2BCE47F6}" name="Set" totalsRowFunction="sum" dataDxfId="26" totalsRowDxfId="25" dataCellStyle="Montante"/>
    <tableColumn id="11" xr3:uid="{DF0979CD-16BF-445D-8201-191AEC975623}" name="Out" totalsRowFunction="sum" dataDxfId="24" totalsRowDxfId="23" dataCellStyle="Montante"/>
    <tableColumn id="12" xr3:uid="{FC89146A-83FA-4A18-B654-648D454B4FF3}" name="Nov" totalsRowFunction="sum" dataDxfId="22" totalsRowDxfId="21" dataCellStyle="Montante"/>
    <tableColumn id="13" xr3:uid="{7C6A4C2F-F634-455D-A266-3E713C350CE5}" name="Dez" totalsRowFunction="sum" dataDxfId="20" totalsRowDxfId="19" dataCellStyle="Montante"/>
    <tableColumn id="14" xr3:uid="{E41FF52E-CB88-41C3-9C62-69FFA235675F}" name="Ano" totalsRowFunction="sum" dataDxfId="18" totalsRowDxfId="17" dataCellStyle="Total">
      <calculatedColumnFormula>SUM('2022_Despesa'!$C3:$N3)</calculatedColumnFormula>
    </tableColumn>
  </tableColumns>
  <tableStyleInfo name="Expense" showFirstColumn="0" showLastColumn="0" showRowStripes="1" showColumnStripes="0"/>
  <extLst>
    <ext xmlns:x14="http://schemas.microsoft.com/office/spreadsheetml/2009/9/main" uri="{504A1905-F514-4f6f-8877-14C23A59335A}">
      <x14:table altTextSummary="Insira as despesas em cada mês e categoria nesta tabela. As despesas anuais são calculadas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A5515C-06B9-486B-90EB-0982E3391088}" name="Renda578" displayName="Renda578" ref="A56:N66" totalsRowCount="1" headerRowBorderDxfId="16" headerRowCellStyle="Normal" dataCellStyle="Normal" totalsRowCellStyle="Normal">
  <autoFilter ref="A56:N65" xr:uid="{C4A5515C-06B9-486B-90EB-0982E3391088}"/>
  <tableColumns count="14">
    <tableColumn id="1" xr3:uid="{74BDBA80-7E77-4089-BC53-68C08D1268D8}" name="Categoria" totalsRowLabel="Total" dataDxfId="15" totalsRowDxfId="14"/>
    <tableColumn id="2" xr3:uid="{DE9CE3D3-068C-432E-B7AB-4A5D482DF790}" name="Jan" totalsRowFunction="sum" totalsRowDxfId="13" dataCellStyle="Montante"/>
    <tableColumn id="3" xr3:uid="{6E59A01A-66AE-4E7F-8DB8-C64749C4DA21}" name="Fev" totalsRowFunction="sum" dataDxfId="12" totalsRowDxfId="11" dataCellStyle="Montante"/>
    <tableColumn id="4" xr3:uid="{B0E8CF2F-C824-4DF3-BE60-F372DAB311B6}" name="Mar" totalsRowFunction="sum" totalsRowDxfId="10" dataCellStyle="Montante"/>
    <tableColumn id="5" xr3:uid="{1D4ED95E-E4D7-403A-9680-C03F987BCC35}" name="Abr" totalsRowFunction="sum" totalsRowDxfId="9" dataCellStyle="Montante"/>
    <tableColumn id="6" xr3:uid="{2DEC9040-59A3-44A6-B8D1-78382FF8A7DE}" name="Mai" totalsRowFunction="sum" totalsRowDxfId="8" dataCellStyle="Montante"/>
    <tableColumn id="7" xr3:uid="{8E9057BC-8ECB-4625-9625-CAD2A6BB937A}" name="Jun" totalsRowFunction="sum" totalsRowDxfId="7" dataCellStyle="Montante"/>
    <tableColumn id="8" xr3:uid="{873BF792-515D-4C31-8C49-6DD45D4D4E13}" name="Jul" totalsRowFunction="sum" totalsRowDxfId="6" dataCellStyle="Montante"/>
    <tableColumn id="9" xr3:uid="{3B96A39D-66FE-49C9-8A77-5C7F3F0C701E}" name="Ago" totalsRowFunction="sum" totalsRowDxfId="5" dataCellStyle="Montante"/>
    <tableColumn id="10" xr3:uid="{FA1045E7-0D4B-4D4D-B665-9A99E77D7F8B}" name="Set" totalsRowFunction="sum" totalsRowDxfId="4" dataCellStyle="Montante"/>
    <tableColumn id="11" xr3:uid="{D91349CD-AFC1-422C-AE0D-0F483131A824}" name="Out" totalsRowFunction="sum" totalsRowDxfId="3" dataCellStyle="Montante"/>
    <tableColumn id="12" xr3:uid="{EDBE7D00-843E-4656-A034-724F1AC6B3DA}" name="Nov" totalsRowFunction="sum" totalsRowDxfId="2" dataCellStyle="Montante"/>
    <tableColumn id="13" xr3:uid="{6BF25F75-E493-4419-9574-97922884A380}" name="Dez" totalsRowFunction="sum" totalsRowDxfId="1" dataCellStyle="Montante"/>
    <tableColumn id="15" xr3:uid="{1B079B39-9378-4C5E-AEA6-99EC59611FB6}" name="Ano" totalsRowFunction="sum" totalsRowDxfId="0" dataCellStyle="Total">
      <calculatedColumnFormula>SUM(Renda578[[#This Row],[Jan]:[Dez]])</calculatedColumnFormula>
    </tableColumn>
  </tableColumns>
  <tableStyleInfo name="Expense" showFirstColumn="0" showLastColumn="0" showRowStripes="1" showColumnStripes="1"/>
  <extLst>
    <ext xmlns:x14="http://schemas.microsoft.com/office/spreadsheetml/2009/9/main" uri="{504A1905-F514-4f6f-8877-14C23A59335A}">
      <x14:table altTextSummary="Insira a Renda das várias fontes em cada mês nesta tabela. A renda anual é calculada automaticamente"/>
    </ext>
  </extLst>
</table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E2DC"/>
      </a:hlink>
      <a:folHlink>
        <a:srgbClr val="00918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0" dT="2022-01-31T01:55:51.97" personId="{83E22C9B-5AC4-4A66-BB91-B92822104172}" id="{D19DBF7A-8522-4C48-9047-4AA1C308A766}">
    <text>817400000003.372822962026.202102222009.00277606600.9</text>
  </threadedComment>
  <threadedComment ref="E40" dT="2022-01-31T01:56:39.77" personId="{83E22C9B-5AC4-4A66-BB91-B92822104172}" id="{63CCFED3-6502-4863-8881-D777B7BE1DAA}">
    <text>817800000009.372822962026.203112222005.002776073005</text>
  </threadedComment>
  <threadedComment ref="F40" dT="2022-01-31T01:57:28.57" personId="{83E22C9B-5AC4-4A66-BB91-B92822104172}" id="{1019015F-B96A-4996-910D-68770FA1FD62}">
    <text>817000000007.372822962026.204112222003.002776081008</text>
  </threadedComment>
  <threadedComment ref="D41" dT="2022-01-31T01:30:50.64" personId="{83E22C9B-5AC4-4A66-BB91-B92822104172}" id="{1862D13F-0249-4C2F-9E79-48E78B4155FC}">
    <text>23792.69307.90935.173311 03000.171409 1 88970000001912</text>
  </threadedComment>
  <threadedComment ref="E41" dT="2022-01-31T01:32:04.35" personId="{83E22C9B-5AC4-4A66-BB91-B92822104172}" id="{6D50B977-4FFC-4104-BFE8-1EBB338475EE}">
    <text>23792.69307.90935.173329.03000.171409.4.89250000001910</text>
  </threadedComment>
  <threadedComment ref="F41" dT="2022-01-31T01:33:06.89" personId="{83E22C9B-5AC4-4A66-BB91-B92822104172}" id="{D86E6010-A931-4B54-ACF9-98031E289DB5}">
    <text>23792.69307.90935.173337.03000.171409.1.89560000001910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ILLERF.LESSA@GMAIL.CO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pageSetUpPr fitToPage="1"/>
  </sheetPr>
  <dimension ref="A1:O49"/>
  <sheetViews>
    <sheetView showGridLines="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O1" sqref="O1"/>
    </sheetView>
  </sheetViews>
  <sheetFormatPr defaultRowHeight="30" customHeight="1"/>
  <cols>
    <col min="1" max="1" width="19.28515625" style="19" customWidth="1"/>
    <col min="2" max="2" width="12.85546875" customWidth="1"/>
    <col min="3" max="15" width="12.5703125" customWidth="1"/>
    <col min="16" max="16" width="2.7109375" customWidth="1"/>
  </cols>
  <sheetData>
    <row r="1" spans="1:15" ht="30" customHeight="1" thickBot="1">
      <c r="A1" s="14" t="s">
        <v>0</v>
      </c>
      <c r="B1" s="28">
        <v>2020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thickBot="1">
      <c r="A2" s="15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15" ht="15" customHeight="1" thickBot="1">
      <c r="A3" s="16" t="s">
        <v>16</v>
      </c>
      <c r="B3" s="19" t="s">
        <v>17</v>
      </c>
      <c r="C3" s="25">
        <v>72.42</v>
      </c>
      <c r="D3" s="25">
        <v>72.42</v>
      </c>
      <c r="E3" s="25">
        <v>72.42</v>
      </c>
      <c r="F3" s="25">
        <v>72.42</v>
      </c>
      <c r="G3" s="25">
        <v>74</v>
      </c>
      <c r="H3" s="25">
        <v>74.06</v>
      </c>
      <c r="I3" s="25">
        <v>72.42</v>
      </c>
      <c r="J3" s="25">
        <v>72.42</v>
      </c>
      <c r="K3" s="25">
        <v>72.42</v>
      </c>
      <c r="L3" s="25">
        <v>72.42</v>
      </c>
      <c r="M3" s="25">
        <v>72.42</v>
      </c>
      <c r="N3" s="25">
        <v>72.42</v>
      </c>
      <c r="O3" s="22">
        <f>SUM('2020_Despesa'!$C3:$N3)</f>
        <v>872.25999999999988</v>
      </c>
    </row>
    <row r="4" spans="1:15" ht="15" customHeight="1" thickBot="1">
      <c r="A4" s="17" t="s">
        <v>18</v>
      </c>
      <c r="B4" s="19" t="s">
        <v>19</v>
      </c>
      <c r="C4" s="25">
        <v>131</v>
      </c>
      <c r="D4" s="25">
        <v>130.30000000000001</v>
      </c>
      <c r="E4" s="25">
        <v>130.30000000000001</v>
      </c>
      <c r="F4" s="25">
        <v>130.30000000000001</v>
      </c>
      <c r="G4" s="25">
        <v>133</v>
      </c>
      <c r="H4" s="25">
        <v>133</v>
      </c>
      <c r="I4" s="25">
        <v>131</v>
      </c>
      <c r="J4" s="25">
        <v>131</v>
      </c>
      <c r="K4" s="25">
        <v>131</v>
      </c>
      <c r="L4" s="25">
        <v>131</v>
      </c>
      <c r="M4" s="25">
        <v>131</v>
      </c>
      <c r="N4" s="25">
        <v>131</v>
      </c>
      <c r="O4" s="22">
        <f>SUM('2020_Despesa'!$C4:$N4)</f>
        <v>1573.9</v>
      </c>
    </row>
    <row r="5" spans="1:15" ht="15" customHeight="1" thickBot="1">
      <c r="A5" s="18" t="s">
        <v>20</v>
      </c>
      <c r="B5" s="19" t="s">
        <v>21</v>
      </c>
      <c r="C5" s="25">
        <v>331.23</v>
      </c>
      <c r="D5" s="25">
        <v>331.23</v>
      </c>
      <c r="E5" s="25">
        <v>331.23</v>
      </c>
      <c r="F5" s="25">
        <v>331.23</v>
      </c>
      <c r="G5" s="25"/>
      <c r="H5" s="25"/>
      <c r="I5" s="25"/>
      <c r="J5" s="25">
        <v>300</v>
      </c>
      <c r="K5" s="25">
        <v>173</v>
      </c>
      <c r="L5" s="25">
        <v>173</v>
      </c>
      <c r="M5" s="25">
        <v>173</v>
      </c>
      <c r="N5" s="25">
        <v>173</v>
      </c>
      <c r="O5" s="22">
        <f>SUM('2020_Despesa'!$C5:$N5)</f>
        <v>2316.92</v>
      </c>
    </row>
    <row r="6" spans="1:15" ht="15" customHeight="1" thickBot="1">
      <c r="A6" s="17" t="s">
        <v>22</v>
      </c>
      <c r="B6" s="19" t="s">
        <v>23</v>
      </c>
      <c r="C6" s="25">
        <v>654.91</v>
      </c>
      <c r="D6" s="25">
        <v>654.91</v>
      </c>
      <c r="E6" s="25">
        <v>654.91</v>
      </c>
      <c r="F6" s="25">
        <v>654.91</v>
      </c>
      <c r="G6" s="25"/>
      <c r="H6" s="25">
        <v>720</v>
      </c>
      <c r="I6" s="25">
        <v>660.09</v>
      </c>
      <c r="J6" s="25">
        <v>654.91</v>
      </c>
      <c r="K6" s="25">
        <v>654.91</v>
      </c>
      <c r="L6" s="25">
        <v>654.91</v>
      </c>
      <c r="M6" s="25">
        <v>654.91</v>
      </c>
      <c r="N6" s="25">
        <v>654.91</v>
      </c>
      <c r="O6" s="22">
        <f>SUM('2020_Despesa'!$C6:$N6)</f>
        <v>7274.28</v>
      </c>
    </row>
    <row r="7" spans="1:15" ht="15" customHeight="1" thickBot="1">
      <c r="A7" s="18" t="s">
        <v>24</v>
      </c>
      <c r="B7" s="19" t="s">
        <v>25</v>
      </c>
      <c r="C7" s="21"/>
      <c r="D7" s="21"/>
      <c r="E7" s="21"/>
      <c r="F7" s="25">
        <v>123.53</v>
      </c>
      <c r="G7" s="21"/>
      <c r="H7" s="21"/>
      <c r="I7" s="21"/>
      <c r="J7" s="21"/>
      <c r="K7" s="21"/>
      <c r="L7" s="21"/>
      <c r="M7" s="21"/>
      <c r="N7" s="21"/>
      <c r="O7" s="22">
        <f>SUM('2020_Despesa'!$C7:$N7)</f>
        <v>123.53</v>
      </c>
    </row>
    <row r="8" spans="1:15" ht="15" customHeight="1" thickBot="1">
      <c r="A8" s="17" t="s">
        <v>26</v>
      </c>
      <c r="B8" s="19" t="s">
        <v>27</v>
      </c>
      <c r="C8" s="25">
        <v>5.23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>
        <f>SUM('2020_Despesa'!$C8:$N8)</f>
        <v>5.23</v>
      </c>
    </row>
    <row r="9" spans="1:15" ht="15" customHeight="1" thickBot="1">
      <c r="A9" s="18" t="s">
        <v>28</v>
      </c>
      <c r="B9" s="19" t="s">
        <v>29</v>
      </c>
      <c r="C9" s="23"/>
      <c r="D9" s="25">
        <v>155.75</v>
      </c>
      <c r="E9" s="25">
        <v>155.75</v>
      </c>
      <c r="F9" s="25">
        <v>155.75</v>
      </c>
      <c r="G9" s="23"/>
      <c r="H9" s="23"/>
      <c r="I9" s="23"/>
      <c r="J9" s="23"/>
      <c r="K9" s="23"/>
      <c r="L9" s="23"/>
      <c r="M9" s="23"/>
      <c r="N9" s="23"/>
      <c r="O9" s="22">
        <f>SUM('2020_Despesa'!$C9:$N9)</f>
        <v>467.25</v>
      </c>
    </row>
    <row r="10" spans="1:15" ht="15" customHeight="1" thickBot="1">
      <c r="A10" s="17" t="s">
        <v>30</v>
      </c>
      <c r="B10" s="19" t="s">
        <v>31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2">
        <f>SUM('2020_Despesa'!$C10:$N10)</f>
        <v>0</v>
      </c>
    </row>
    <row r="11" spans="1:15" ht="15" customHeight="1" thickBot="1">
      <c r="A11" s="18" t="s">
        <v>32</v>
      </c>
      <c r="B11" s="19" t="s">
        <v>33</v>
      </c>
      <c r="C11" s="25">
        <v>1100</v>
      </c>
      <c r="D11" s="25">
        <v>790</v>
      </c>
      <c r="E11" s="25">
        <v>630</v>
      </c>
      <c r="F11" s="25">
        <v>60</v>
      </c>
      <c r="G11" s="23"/>
      <c r="H11" s="23"/>
      <c r="I11" s="23"/>
      <c r="J11" s="25">
        <v>136</v>
      </c>
      <c r="K11" s="25">
        <v>230</v>
      </c>
      <c r="L11" s="23"/>
      <c r="M11" s="23"/>
      <c r="N11" s="23"/>
      <c r="O11" s="22">
        <f>SUM('2020_Despesa'!$C11:$N11)</f>
        <v>2946</v>
      </c>
    </row>
    <row r="12" spans="1:15" ht="15" customHeight="1" thickBot="1">
      <c r="A12" s="17" t="s">
        <v>34</v>
      </c>
      <c r="B12" s="19" t="s">
        <v>31</v>
      </c>
      <c r="C12" s="25"/>
      <c r="D12" s="25">
        <v>350</v>
      </c>
      <c r="E12" s="25">
        <v>300</v>
      </c>
      <c r="F12" s="25">
        <v>50</v>
      </c>
      <c r="G12" s="25">
        <v>110</v>
      </c>
      <c r="H12" s="25">
        <v>180</v>
      </c>
      <c r="I12" s="25">
        <v>250</v>
      </c>
      <c r="J12" s="25">
        <v>150</v>
      </c>
      <c r="K12" s="25">
        <v>150</v>
      </c>
      <c r="L12" s="25"/>
      <c r="M12" s="25">
        <v>100</v>
      </c>
      <c r="N12" s="25">
        <v>50</v>
      </c>
      <c r="O12" s="22">
        <f>SUM('2020_Despesa'!$C12:$N12)</f>
        <v>1690</v>
      </c>
    </row>
    <row r="13" spans="1:15" ht="15" customHeight="1" thickBot="1">
      <c r="A13" s="18" t="s">
        <v>35</v>
      </c>
      <c r="B13" s="19" t="s">
        <v>31</v>
      </c>
      <c r="C13" s="23"/>
      <c r="D13" s="25">
        <v>35</v>
      </c>
      <c r="E13" s="25">
        <v>15</v>
      </c>
      <c r="F13" s="25"/>
      <c r="G13" s="25">
        <v>15</v>
      </c>
      <c r="H13" s="25">
        <v>15</v>
      </c>
      <c r="I13" s="25">
        <v>30</v>
      </c>
      <c r="J13" s="25">
        <v>15</v>
      </c>
      <c r="K13" s="25">
        <v>45</v>
      </c>
      <c r="L13" s="23"/>
      <c r="M13" s="23"/>
      <c r="N13" s="23"/>
      <c r="O13" s="22">
        <f>SUM('2020_Despesa'!$C13:$N13)</f>
        <v>170</v>
      </c>
    </row>
    <row r="14" spans="1:15" ht="15" customHeight="1" thickBot="1">
      <c r="A14" s="17" t="s">
        <v>36</v>
      </c>
      <c r="B14" s="19" t="s">
        <v>37</v>
      </c>
      <c r="C14" s="25">
        <v>71.02</v>
      </c>
      <c r="D14" s="25">
        <v>70</v>
      </c>
      <c r="E14" s="25">
        <v>40</v>
      </c>
      <c r="F14" s="25">
        <v>41.07</v>
      </c>
      <c r="G14" s="25">
        <v>40</v>
      </c>
      <c r="H14" s="25">
        <v>40</v>
      </c>
      <c r="I14" s="25">
        <v>40</v>
      </c>
      <c r="J14" s="25">
        <v>40</v>
      </c>
      <c r="K14" s="25">
        <v>42</v>
      </c>
      <c r="L14" s="25">
        <v>41</v>
      </c>
      <c r="M14" s="25">
        <v>40</v>
      </c>
      <c r="N14" s="25">
        <v>40</v>
      </c>
      <c r="O14" s="22">
        <f>SUM('2020_Despesa'!$C14:$N14)</f>
        <v>545.08999999999992</v>
      </c>
    </row>
    <row r="15" spans="1:15" ht="15" customHeight="1" thickBot="1">
      <c r="A15" s="18" t="s">
        <v>38</v>
      </c>
      <c r="B15" s="19" t="s">
        <v>39</v>
      </c>
      <c r="C15" s="25">
        <v>20.8</v>
      </c>
      <c r="D15" s="25">
        <v>27</v>
      </c>
      <c r="E15" s="25">
        <v>34</v>
      </c>
      <c r="F15" s="25">
        <v>43.8</v>
      </c>
      <c r="G15" s="25">
        <v>43</v>
      </c>
      <c r="H15" s="25"/>
      <c r="I15" s="25"/>
      <c r="J15" s="25">
        <v>40</v>
      </c>
      <c r="K15" s="25">
        <v>33.5</v>
      </c>
      <c r="L15" s="25">
        <v>48</v>
      </c>
      <c r="M15" s="25">
        <v>61.5</v>
      </c>
      <c r="N15" s="25">
        <v>43</v>
      </c>
      <c r="O15" s="22">
        <f>SUM('2020_Despesa'!$C15:$N15)</f>
        <v>394.6</v>
      </c>
    </row>
    <row r="16" spans="1:15" ht="15" customHeight="1" thickBot="1">
      <c r="A16" s="17" t="s">
        <v>40</v>
      </c>
      <c r="B16" s="19" t="s">
        <v>41</v>
      </c>
      <c r="C16" s="25">
        <v>120.91</v>
      </c>
      <c r="D16" s="25">
        <v>157.27000000000001</v>
      </c>
      <c r="E16" s="25">
        <v>160</v>
      </c>
      <c r="F16" s="25">
        <v>157</v>
      </c>
      <c r="G16" s="25">
        <v>178</v>
      </c>
      <c r="H16" s="25"/>
      <c r="I16" s="25"/>
      <c r="J16" s="25">
        <v>127.5</v>
      </c>
      <c r="K16" s="25">
        <v>127.5</v>
      </c>
      <c r="L16" s="25">
        <v>124</v>
      </c>
      <c r="M16" s="25">
        <v>147.5</v>
      </c>
      <c r="N16" s="25">
        <v>157.5</v>
      </c>
      <c r="O16" s="22">
        <f>SUM('2020_Despesa'!$C16:$N16)</f>
        <v>1457.18</v>
      </c>
    </row>
    <row r="17" spans="1:15" ht="15" customHeight="1" thickBot="1">
      <c r="A17" s="18" t="s">
        <v>42</v>
      </c>
      <c r="B17" s="19" t="s">
        <v>39</v>
      </c>
      <c r="C17" s="25">
        <v>150</v>
      </c>
      <c r="D17" s="25">
        <v>150</v>
      </c>
      <c r="E17" s="25">
        <v>160</v>
      </c>
      <c r="F17" s="25">
        <v>95</v>
      </c>
      <c r="G17" s="25"/>
      <c r="H17" s="25">
        <v>95</v>
      </c>
      <c r="I17" s="25">
        <v>95</v>
      </c>
      <c r="J17" s="25">
        <v>160</v>
      </c>
      <c r="K17" s="25">
        <v>160</v>
      </c>
      <c r="L17" s="25">
        <v>160</v>
      </c>
      <c r="M17" s="25">
        <v>160</v>
      </c>
      <c r="N17" s="25">
        <v>160</v>
      </c>
      <c r="O17" s="22">
        <f>SUM('2020_Despesa'!$C17:$N17)</f>
        <v>1545</v>
      </c>
    </row>
    <row r="18" spans="1:15" ht="15" customHeight="1" thickBot="1">
      <c r="A18" s="17" t="s">
        <v>43</v>
      </c>
      <c r="B18" s="19" t="s">
        <v>31</v>
      </c>
      <c r="C18" s="21"/>
      <c r="D18" s="21"/>
      <c r="E18" s="21"/>
      <c r="F18" s="25">
        <v>85</v>
      </c>
      <c r="G18" s="25"/>
      <c r="H18" s="25"/>
      <c r="I18" s="25"/>
      <c r="J18" s="25">
        <v>80</v>
      </c>
      <c r="K18" s="21"/>
      <c r="L18" s="21"/>
      <c r="M18" s="21"/>
      <c r="N18" s="21"/>
      <c r="O18" s="22">
        <f>SUM('2020_Despesa'!$C18:$N18)</f>
        <v>165</v>
      </c>
    </row>
    <row r="19" spans="1:15" ht="15" customHeight="1" thickBot="1">
      <c r="A19" s="19" t="s">
        <v>44</v>
      </c>
      <c r="B19" s="19" t="s">
        <v>45</v>
      </c>
      <c r="C19" s="25">
        <v>489.88</v>
      </c>
      <c r="D19" s="25">
        <v>400.92</v>
      </c>
      <c r="E19" s="25">
        <v>34.5</v>
      </c>
      <c r="F19" s="25"/>
      <c r="G19" s="25"/>
      <c r="H19" s="25"/>
      <c r="I19" s="25"/>
      <c r="J19" s="25">
        <v>50</v>
      </c>
      <c r="K19" s="25">
        <v>113.53</v>
      </c>
      <c r="L19" s="25">
        <v>113.53</v>
      </c>
      <c r="M19" s="25">
        <v>113.53</v>
      </c>
      <c r="N19" s="25">
        <v>113.53</v>
      </c>
      <c r="O19" s="22">
        <f>SUM('2020_Despesa'!$C19:$N19)</f>
        <v>1429.4199999999998</v>
      </c>
    </row>
    <row r="20" spans="1:15" ht="15" customHeight="1" thickBot="1">
      <c r="A20" s="17" t="s">
        <v>46</v>
      </c>
      <c r="B20" s="19" t="s">
        <v>23</v>
      </c>
      <c r="C20" s="23"/>
      <c r="D20" s="23"/>
      <c r="E20" s="23"/>
      <c r="F20" s="23"/>
      <c r="G20" s="23"/>
      <c r="H20" s="25">
        <v>28.6</v>
      </c>
      <c r="I20" s="25">
        <v>28.6</v>
      </c>
      <c r="J20" s="25">
        <v>28.6</v>
      </c>
      <c r="K20" s="25">
        <v>28.6</v>
      </c>
      <c r="L20" s="25">
        <v>28.6</v>
      </c>
      <c r="M20" s="25">
        <v>28.6</v>
      </c>
      <c r="N20" s="25">
        <v>28.6</v>
      </c>
      <c r="O20" s="22">
        <f>SUM('2020_Despesa'!$C20:$N20)</f>
        <v>200.2</v>
      </c>
    </row>
    <row r="21" spans="1:15" ht="15" customHeight="1" thickBot="1">
      <c r="A21" s="19" t="s">
        <v>47</v>
      </c>
      <c r="B21" s="19" t="s">
        <v>23</v>
      </c>
      <c r="C21" s="25">
        <v>400.92</v>
      </c>
      <c r="D21" s="25">
        <v>400.92</v>
      </c>
      <c r="E21" s="25">
        <v>400.92</v>
      </c>
      <c r="F21" s="25"/>
      <c r="G21" s="25"/>
      <c r="H21" s="25"/>
      <c r="I21" s="25"/>
      <c r="J21" s="25"/>
      <c r="K21" s="25"/>
      <c r="L21" s="25"/>
      <c r="M21" s="25">
        <v>41</v>
      </c>
      <c r="N21" s="25">
        <v>104.85</v>
      </c>
      <c r="O21" s="22">
        <f>SUM('2020_Despesa'!$C21:$N21)</f>
        <v>1348.61</v>
      </c>
    </row>
    <row r="22" spans="1:15" ht="15" customHeight="1" thickBot="1">
      <c r="A22" s="17" t="s">
        <v>48</v>
      </c>
      <c r="B22" s="19" t="s">
        <v>37</v>
      </c>
      <c r="C22" s="25">
        <v>40</v>
      </c>
      <c r="D22" s="25">
        <v>40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2">
        <f>SUM('2020_Despesa'!$C22:$N22)</f>
        <v>80</v>
      </c>
    </row>
    <row r="23" spans="1:15" ht="15" customHeight="1" thickBot="1">
      <c r="A23" s="19" t="s">
        <v>49</v>
      </c>
      <c r="B23" s="19" t="s">
        <v>25</v>
      </c>
      <c r="C23" s="25">
        <v>500</v>
      </c>
      <c r="D23" s="25"/>
      <c r="E23" s="25"/>
      <c r="F23" s="25"/>
      <c r="G23" s="25"/>
      <c r="H23" s="25"/>
      <c r="I23" s="25"/>
      <c r="J23" s="25">
        <v>500</v>
      </c>
      <c r="K23" s="23"/>
      <c r="L23" s="23"/>
      <c r="M23" s="23"/>
      <c r="N23" s="23"/>
      <c r="O23" s="22">
        <f>SUM('2020_Despesa'!$C23:$N23)</f>
        <v>1000</v>
      </c>
    </row>
    <row r="24" spans="1:15" ht="15" customHeight="1" thickBot="1">
      <c r="A24" s="17" t="s">
        <v>50</v>
      </c>
      <c r="B24" s="19" t="s">
        <v>31</v>
      </c>
      <c r="C24" s="23"/>
      <c r="D24" s="23"/>
      <c r="E24" s="23"/>
      <c r="F24" s="23"/>
      <c r="G24" s="23"/>
      <c r="H24" s="23"/>
      <c r="I24" s="23"/>
      <c r="J24" s="23"/>
      <c r="K24" s="25">
        <v>300</v>
      </c>
      <c r="L24" s="23"/>
      <c r="M24" s="23"/>
      <c r="N24" s="23"/>
      <c r="O24" s="22">
        <f>SUM('2020_Despesa'!$C24:$N24)</f>
        <v>300</v>
      </c>
    </row>
    <row r="25" spans="1:15" ht="15" customHeight="1" thickBot="1">
      <c r="A25" s="19" t="s">
        <v>51</v>
      </c>
      <c r="B25" s="19" t="s">
        <v>31</v>
      </c>
      <c r="C25" s="23"/>
      <c r="D25" s="23"/>
      <c r="E25" s="23"/>
      <c r="F25" s="23"/>
      <c r="G25" s="23"/>
      <c r="H25" s="23"/>
      <c r="I25" s="23"/>
      <c r="J25" s="23"/>
      <c r="K25" s="23"/>
      <c r="L25" s="25">
        <v>240</v>
      </c>
      <c r="M25" s="25">
        <v>240</v>
      </c>
      <c r="N25" s="25">
        <v>320</v>
      </c>
      <c r="O25" s="22">
        <f>SUM('2020_Despesa'!$C25:$N25)</f>
        <v>800</v>
      </c>
    </row>
    <row r="26" spans="1:15" ht="15" customHeight="1" thickBot="1">
      <c r="A26" s="17" t="s">
        <v>52</v>
      </c>
      <c r="B26" s="19" t="s">
        <v>19</v>
      </c>
      <c r="C26" s="23"/>
      <c r="D26" s="25">
        <v>21.9</v>
      </c>
      <c r="E26" s="25"/>
      <c r="F26" s="25"/>
      <c r="G26" s="25">
        <v>45.9</v>
      </c>
      <c r="H26" s="25">
        <v>20</v>
      </c>
      <c r="I26" s="25">
        <v>20</v>
      </c>
      <c r="J26" s="25">
        <v>20</v>
      </c>
      <c r="K26" s="25">
        <v>20</v>
      </c>
      <c r="L26" s="25">
        <v>20</v>
      </c>
      <c r="M26" s="25">
        <v>20</v>
      </c>
      <c r="N26" s="25">
        <v>20</v>
      </c>
      <c r="O26" s="22">
        <f>SUM('2020_Despesa'!$C26:$N26)</f>
        <v>207.8</v>
      </c>
    </row>
    <row r="27" spans="1:15" ht="15" customHeight="1" thickBot="1">
      <c r="A27" s="19" t="s">
        <v>53</v>
      </c>
      <c r="B27" s="19" t="s">
        <v>37</v>
      </c>
      <c r="C27" s="25">
        <v>21.4</v>
      </c>
      <c r="D27" s="25">
        <v>21.4</v>
      </c>
      <c r="E27" s="25">
        <v>21.4</v>
      </c>
      <c r="F27" s="25">
        <v>21.4</v>
      </c>
      <c r="G27" s="25">
        <v>22.1</v>
      </c>
      <c r="H27" s="25">
        <v>22.1</v>
      </c>
      <c r="I27" s="23"/>
      <c r="J27" s="23"/>
      <c r="K27" s="23"/>
      <c r="L27" s="23"/>
      <c r="M27" s="23"/>
      <c r="N27" s="23"/>
      <c r="O27" s="22">
        <f>SUM('2020_Despesa'!$C27:$N27)</f>
        <v>129.79999999999998</v>
      </c>
    </row>
    <row r="28" spans="1:15" ht="15" customHeight="1" thickBot="1">
      <c r="A28" s="17" t="s">
        <v>54</v>
      </c>
      <c r="B28" s="19" t="s">
        <v>31</v>
      </c>
      <c r="C28" s="23"/>
      <c r="D28" s="23"/>
      <c r="E28" s="23"/>
      <c r="F28" s="23"/>
      <c r="G28" s="25">
        <v>43.06</v>
      </c>
      <c r="H28" s="23"/>
      <c r="I28" s="23"/>
      <c r="J28" s="23"/>
      <c r="K28" s="23"/>
      <c r="L28" s="23"/>
      <c r="M28" s="23"/>
      <c r="N28" s="23"/>
      <c r="O28" s="22">
        <f>SUM('2020_Despesa'!$C28:$N28)</f>
        <v>43.06</v>
      </c>
    </row>
    <row r="29" spans="1:15" ht="15" customHeight="1" thickBot="1">
      <c r="A29" s="19" t="s">
        <v>55</v>
      </c>
      <c r="B29" s="19" t="s">
        <v>31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5">
        <v>202</v>
      </c>
      <c r="N29" s="25">
        <v>44</v>
      </c>
      <c r="O29" s="22">
        <f>SUM('2020_Despesa'!$C29:$N29)</f>
        <v>246</v>
      </c>
    </row>
    <row r="30" spans="1:15" ht="15" customHeight="1" thickBot="1">
      <c r="A30" s="17" t="s">
        <v>56</v>
      </c>
      <c r="B30" s="19" t="s">
        <v>31</v>
      </c>
      <c r="C30" s="23"/>
      <c r="D30" s="23"/>
      <c r="E30" s="23"/>
      <c r="F30" s="23"/>
      <c r="G30" s="23"/>
      <c r="H30" s="23"/>
      <c r="I30" s="23"/>
      <c r="J30" s="25">
        <v>58</v>
      </c>
      <c r="K30" s="23"/>
      <c r="L30" s="23"/>
      <c r="M30" s="23"/>
      <c r="N30" s="23"/>
      <c r="O30" s="22">
        <f>SUM('2020_Despesa'!$C30:$N30)</f>
        <v>58</v>
      </c>
    </row>
    <row r="31" spans="1:15" ht="15" customHeight="1" thickBot="1">
      <c r="A31" s="19" t="s">
        <v>57</v>
      </c>
      <c r="B31" s="19" t="s">
        <v>31</v>
      </c>
      <c r="C31" s="23"/>
      <c r="D31" s="25">
        <v>98</v>
      </c>
      <c r="E31" s="25">
        <v>95</v>
      </c>
      <c r="F31" s="23"/>
      <c r="G31" s="23"/>
      <c r="H31" s="23"/>
      <c r="I31" s="23"/>
      <c r="J31" s="23"/>
      <c r="K31" s="23"/>
      <c r="L31" s="23"/>
      <c r="M31" s="23"/>
      <c r="N31" s="23"/>
      <c r="O31" s="22">
        <f>SUM('2020_Despesa'!$C31:$N31)</f>
        <v>193</v>
      </c>
    </row>
    <row r="32" spans="1:15" ht="15" customHeight="1" thickBot="1">
      <c r="A32" s="17"/>
      <c r="B32" s="1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2">
        <f>SUM('2020_Despesa'!$C32:$N32)</f>
        <v>0</v>
      </c>
    </row>
    <row r="33" spans="1:15" ht="15" customHeight="1" thickBot="1">
      <c r="B33" s="19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2">
        <f>SUM('2020_Despesa'!$C33:$N33)</f>
        <v>0</v>
      </c>
    </row>
    <row r="34" spans="1:15" ht="15" customHeight="1">
      <c r="A34" s="19" t="s">
        <v>58</v>
      </c>
      <c r="C34" s="24">
        <f>SUBTOTAL(109,Despesas[Jan])</f>
        <v>4109.72</v>
      </c>
      <c r="D34" s="24">
        <f>SUBTOTAL(109,Despesas[Fev])</f>
        <v>3907.0200000000004</v>
      </c>
      <c r="E34" s="24">
        <f>SUBTOTAL(109,Despesas[Mar])</f>
        <v>3235.4300000000003</v>
      </c>
      <c r="F34" s="24">
        <f>SUBTOTAL(109,Despesas[Abr])</f>
        <v>2021.41</v>
      </c>
      <c r="G34" s="24">
        <f>SUBTOTAL(109,Despesas[Mai])</f>
        <v>704.06</v>
      </c>
      <c r="H34" s="24">
        <f>SUBTOTAL(109,Despesas[Jun])</f>
        <v>1327.7599999999998</v>
      </c>
      <c r="I34" s="24">
        <f>SUBTOTAL(109,Despesas[Jul])</f>
        <v>1327.11</v>
      </c>
      <c r="J34" s="24">
        <f>SUBTOTAL(109,Despesas[Ago])</f>
        <v>2563.4299999999998</v>
      </c>
      <c r="K34" s="24">
        <f>SUBTOTAL(109,Despesas[Set])</f>
        <v>2281.46</v>
      </c>
      <c r="L34" s="24">
        <f>SUBTOTAL(109,Despesas[Out])</f>
        <v>1806.4599999999998</v>
      </c>
      <c r="M34" s="24">
        <f>SUBTOTAL(109,Despesas[Nov])</f>
        <v>2185.46</v>
      </c>
      <c r="N34" s="24">
        <f>SUBTOTAL(109,Despesas[Dez])</f>
        <v>2112.8099999999995</v>
      </c>
      <c r="O34" s="24">
        <f>SUBTOTAL(109,Despesas[Ano])</f>
        <v>27582.13</v>
      </c>
    </row>
    <row r="41" spans="1:15" ht="30" customHeight="1" thickBot="1">
      <c r="A41" s="39"/>
      <c r="B41" s="39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5" ht="15" customHeight="1" thickBot="1">
      <c r="A42" s="2"/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12</v>
      </c>
      <c r="L42" s="1" t="s">
        <v>13</v>
      </c>
      <c r="M42" s="1" t="s">
        <v>14</v>
      </c>
      <c r="N42" s="1" t="s">
        <v>15</v>
      </c>
    </row>
    <row r="43" spans="1:15" ht="15" customHeight="1" thickBot="1">
      <c r="A43" s="20" t="s">
        <v>59</v>
      </c>
      <c r="B43" s="6">
        <f>Despesas[[#Totals],[Jan]]</f>
        <v>4109.72</v>
      </c>
      <c r="C43" s="6">
        <f>Despesas[[#Totals],[Fev]]</f>
        <v>3907.0200000000004</v>
      </c>
      <c r="D43" s="6">
        <f>Despesas[[#Totals],[Mar]]</f>
        <v>3235.4300000000003</v>
      </c>
      <c r="E43" s="6">
        <f>Despesas[[#Totals],[Abr]]</f>
        <v>2021.41</v>
      </c>
      <c r="F43" s="6">
        <f>Despesas[[#Totals],[Mai]]</f>
        <v>704.06</v>
      </c>
      <c r="G43" s="6">
        <f>Despesas[[#Totals],[Jun]]</f>
        <v>1327.7599999999998</v>
      </c>
      <c r="H43" s="6">
        <f>Despesas[[#Totals],[Jul]]</f>
        <v>1327.11</v>
      </c>
      <c r="I43" s="6">
        <f>Despesas[[#Totals],[Ago]]</f>
        <v>2563.4299999999998</v>
      </c>
      <c r="J43" s="6">
        <f>Despesas[[#Totals],[Set]]</f>
        <v>2281.46</v>
      </c>
      <c r="K43" s="6">
        <f>Despesas[[#Totals],[Out]]</f>
        <v>1806.4599999999998</v>
      </c>
      <c r="L43" s="6">
        <f>Despesas[[#Totals],[Nov]]</f>
        <v>2185.46</v>
      </c>
      <c r="M43" s="6">
        <f>Despesas[[#Totals],[Dez]]</f>
        <v>2112.8099999999995</v>
      </c>
      <c r="N43" s="7">
        <f>SUM(B43:M43)</f>
        <v>27582.129999999997</v>
      </c>
    </row>
    <row r="44" spans="1:15" ht="15" customHeight="1" thickBot="1">
      <c r="A44" s="19" t="s">
        <v>60</v>
      </c>
      <c r="B44" s="8">
        <f>SUM(Renda5[[#Totals],[Jan]]-B43)</f>
        <v>-2837.7200000000003</v>
      </c>
      <c r="C44" s="8">
        <f>SUM(Renda5[[#Totals],[Fev]]-C43)</f>
        <v>-101.02000000000044</v>
      </c>
      <c r="D44" s="8">
        <f>SUM(Renda5[[#Totals],[Mar]]-D43)</f>
        <v>-1633.4300000000003</v>
      </c>
      <c r="E44" s="8">
        <f>SUM(Renda5[[#Totals],[Abr]]-E43)</f>
        <v>1224.5899999999999</v>
      </c>
      <c r="F44" s="8">
        <f>SUM(Renda5[[#Totals],[Mai]]-F43)</f>
        <v>295.94000000000005</v>
      </c>
      <c r="G44" s="8">
        <f>SUM(Renda5[[#Totals],[Jun]]-G43)</f>
        <v>-1327.7599999999998</v>
      </c>
      <c r="H44" s="8">
        <f>SUM(Renda5[[#Totals],[Jul]]-H43)</f>
        <v>2212.8900000000003</v>
      </c>
      <c r="I44" s="8">
        <f>SUM(Renda5[[#Totals],[Ago]]-I43)</f>
        <v>3000.57</v>
      </c>
      <c r="J44" s="8">
        <f>SUM(Renda5[[#Totals],[Set]]-J43)</f>
        <v>700.54</v>
      </c>
      <c r="K44" s="8">
        <f>SUM(Renda5[[#Totals],[Out]]-K43)</f>
        <v>1303.5400000000002</v>
      </c>
      <c r="L44" s="8">
        <f>SUM(Renda5[[#Totals],[Nov]]-L43)</f>
        <v>753.54</v>
      </c>
      <c r="M44" s="8">
        <f>SUM(Renda5[[#Totals],[Dez]]-M43)</f>
        <v>1083.1900000000005</v>
      </c>
      <c r="N44" s="8">
        <f>SUM(B44:M44)</f>
        <v>4674.8700000000008</v>
      </c>
    </row>
    <row r="45" spans="1:15" ht="15" customHeight="1" thickBot="1">
      <c r="A45" s="14" t="s">
        <v>61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 ht="15" customHeight="1" thickBot="1">
      <c r="A46" s="15" t="s">
        <v>1</v>
      </c>
      <c r="B46" s="5" t="s">
        <v>3</v>
      </c>
      <c r="C46" s="4" t="s">
        <v>4</v>
      </c>
      <c r="D46" s="4" t="s">
        <v>5</v>
      </c>
      <c r="E46" s="4" t="s">
        <v>6</v>
      </c>
      <c r="F46" s="4" t="s">
        <v>7</v>
      </c>
      <c r="G46" s="4" t="s">
        <v>8</v>
      </c>
      <c r="H46" s="4" t="s">
        <v>9</v>
      </c>
      <c r="I46" s="4" t="s">
        <v>10</v>
      </c>
      <c r="J46" s="4" t="s">
        <v>11</v>
      </c>
      <c r="K46" s="4" t="s">
        <v>12</v>
      </c>
      <c r="L46" s="4" t="s">
        <v>13</v>
      </c>
      <c r="M46" s="4" t="s">
        <v>14</v>
      </c>
      <c r="N46" s="4" t="s">
        <v>15</v>
      </c>
    </row>
    <row r="47" spans="1:15" ht="15" customHeight="1" thickBot="1">
      <c r="A47" s="19" t="s">
        <v>62</v>
      </c>
      <c r="B47" s="8">
        <v>1272</v>
      </c>
      <c r="C47" s="8">
        <f t="shared" ref="C47" si="0">1906+1000+900</f>
        <v>3806</v>
      </c>
      <c r="D47" s="8">
        <v>1602</v>
      </c>
      <c r="E47" s="8">
        <v>3246</v>
      </c>
      <c r="F47" s="8">
        <v>1000</v>
      </c>
      <c r="G47" s="8"/>
      <c r="H47" s="8">
        <v>3540</v>
      </c>
      <c r="I47" s="8">
        <v>5564</v>
      </c>
      <c r="J47" s="8">
        <v>2982</v>
      </c>
      <c r="K47" s="8">
        <v>3110</v>
      </c>
      <c r="L47" s="8">
        <v>2939</v>
      </c>
      <c r="M47" s="8">
        <v>3196</v>
      </c>
      <c r="N47" s="9">
        <f>SUM(Renda5[[#This Row],[Jan]:[Dez]])</f>
        <v>32257</v>
      </c>
    </row>
    <row r="48" spans="1:15" ht="15" customHeight="1" thickBot="1">
      <c r="A48" s="19" t="s">
        <v>63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9">
        <f>SUM(Renda5[[#This Row],[Jan]:[Dez]])</f>
        <v>0</v>
      </c>
    </row>
    <row r="49" spans="1:14" ht="15" customHeight="1" thickBot="1">
      <c r="A49" s="19" t="s">
        <v>58</v>
      </c>
      <c r="B49" s="10">
        <f>SUBTOTAL(109,Renda5[Jan])</f>
        <v>1272</v>
      </c>
      <c r="C49" s="10">
        <f>SUBTOTAL(109,Renda5[Fev])</f>
        <v>3806</v>
      </c>
      <c r="D49" s="10">
        <f>SUBTOTAL(109,Renda5[Mar])</f>
        <v>1602</v>
      </c>
      <c r="E49" s="10">
        <f>SUBTOTAL(109,Renda5[Abr])</f>
        <v>3246</v>
      </c>
      <c r="F49" s="10">
        <f>SUBTOTAL(109,Renda5[Mai])</f>
        <v>1000</v>
      </c>
      <c r="G49" s="10">
        <f>SUBTOTAL(109,Renda5[Jun])</f>
        <v>0</v>
      </c>
      <c r="H49" s="10">
        <f>SUBTOTAL(109,Renda5[Jul])</f>
        <v>3540</v>
      </c>
      <c r="I49" s="10">
        <f>SUBTOTAL(109,Renda5[Ago])</f>
        <v>5564</v>
      </c>
      <c r="J49" s="10">
        <f>SUBTOTAL(109,Renda5[Set])</f>
        <v>2982</v>
      </c>
      <c r="K49" s="10">
        <f>SUBTOTAL(109,Renda5[Out])</f>
        <v>3110</v>
      </c>
      <c r="L49" s="10">
        <f>SUBTOTAL(109,Renda5[Nov])</f>
        <v>2939</v>
      </c>
      <c r="M49" s="10">
        <f>SUBTOTAL(109,Renda5[Dez])</f>
        <v>3196</v>
      </c>
      <c r="N49" s="11">
        <f>SUBTOTAL(109,Renda5[Ano])</f>
        <v>32257</v>
      </c>
    </row>
  </sheetData>
  <mergeCells count="1">
    <mergeCell ref="A41:B41"/>
  </mergeCells>
  <conditionalFormatting sqref="B44:M44">
    <cfRule type="iconSet" priority="2">
      <iconSet iconSet="3Arrows">
        <cfvo type="percentile" val="0"/>
        <cfvo type="num" val="0"/>
        <cfvo type="num" val="1"/>
      </iconSet>
    </cfRule>
  </conditionalFormatting>
  <conditionalFormatting sqref="N44">
    <cfRule type="iconSet" priority="1">
      <iconSet iconSet="3Arrows">
        <cfvo type="percentile" val="0"/>
        <cfvo type="num" val="0"/>
        <cfvo type="num" val="1"/>
      </iconSet>
    </cfRule>
  </conditionalFormatting>
  <dataValidations count="14">
    <dataValidation allowBlank="1" showInputMessage="1" showErrorMessage="1" prompt="O título desta planilha está nesta célula." sqref="A41:B41" xr:uid="{00000000-0002-0000-0100-000000000000}"/>
    <dataValidation allowBlank="1" showInputMessage="1" showErrorMessage="1" prompt="Insira as despesas na tabela abaixo" sqref="A1" xr:uid="{00000000-0002-0000-0100-000001000000}"/>
    <dataValidation allowBlank="1" showInputMessage="1" showErrorMessage="1" prompt="Insira a Subcategoria na coluna sob este cabeçalho" sqref="B2" xr:uid="{00000000-0002-0000-0100-000002000000}"/>
    <dataValidation allowBlank="1" showInputMessage="1" showErrorMessage="1" prompt="Insira as despesas deste mês na coluna sob este cabeçalho" sqref="C2:N2" xr:uid="{00000000-0002-0000-0100-000003000000}"/>
    <dataValidation allowBlank="1" showInputMessage="1" showErrorMessage="1" prompt="As despesas anuais são calculadas automaticamente na coluna sob este cabeçalho" sqref="O2" xr:uid="{00000000-0002-0000-0100-000004000000}"/>
    <dataValidation allowBlank="1" showInputMessage="1" showErrorMessage="1" prompt="Selecione a Categoria na coluna sob este cabeçalho. Pressione Alt+Seta para baixo para abrir a lista suspensa e depois Enter para fazer a seleção" sqref="A2" xr:uid="{00000000-0002-0000-0100-000007000000}"/>
    <dataValidation errorStyle="warning" allowBlank="1" showInputMessage="1" showErrorMessage="1" error="Selecione a Categoria na lista. Selecione CANCELAR, pressione Alt+Seta para baixo para ver as opções e depois Seta para baixo e Enter para fazer a seleção" sqref="A3:B33" xr:uid="{C8C8F337-DAA4-404A-AD31-7398C2A785C7}"/>
    <dataValidation allowBlank="1" showInputMessage="1" showErrorMessage="1" prompt="Insira a renda deste mês na coluna sob este cabeçalho" sqref="B46:M46" xr:uid="{080EFC96-06F8-4172-B5EE-60DB60FB2A37}"/>
    <dataValidation allowBlank="1" showInputMessage="1" showErrorMessage="1" prompt="As Rendas anuais são calculadas automaticamente na coluna sob este cabeçalho" sqref="N46" xr:uid="{52254F26-1322-4D85-B6AC-790E4BA0C36A}"/>
    <dataValidation allowBlank="1" showInputMessage="1" showErrorMessage="1" prompt="Insira a Categoria na coluna sob este cabeçalho. Use os filtros de cabeçalho para localizar itens específicos." sqref="A46" xr:uid="{836F7D03-4979-4D62-A6AC-2552F14CD256}"/>
    <dataValidation allowBlank="1" showInputMessage="1" showErrorMessage="1" prompt="Insira os Detalhes da renda na tabela abaixo" sqref="A45" xr:uid="{346E51B5-E628-4BFE-87AB-75BDB59573DB}"/>
    <dataValidation allowBlank="1" showInputMessage="1" showErrorMessage="1" prompt="A falta ou o excedente de dinheiro são calculados automaticamente nas células à direita com a respectiva atualização dos ícones" sqref="A44" xr:uid="{89BB9EFC-FC54-49F8-A8E4-F723C0CAFF1E}"/>
    <dataValidation allowBlank="1" showInputMessage="1" showErrorMessage="1" prompt="As despesas totais são calculadas automaticamente nas células à direita" sqref="A43" xr:uid="{9EDDA7C3-1128-4CE3-9519-701C6FD8E5AD}"/>
    <dataValidation allowBlank="1" showInputMessage="1" showErrorMessage="1" prompt="Os meses estão nas células à direita. As Despesas totais e a Falta ou excedente de dinheiro são calculados automaticamente nas células C3 a O4 abaixo" sqref="A42" xr:uid="{A06E9682-5D58-4C58-935F-EE4EB9EA28A2}"/>
  </dataValidations>
  <printOptions horizontalCentered="1"/>
  <pageMargins left="0.5" right="0.5" top="0.75" bottom="0.75" header="0.5" footer="0.5"/>
  <pageSetup paperSize="9" scale="65" fitToHeight="0" orientation="landscape" horizontalDpi="200" verticalDpi="200" r:id="rId1"/>
  <headerFooter differentFirst="1" alignWithMargins="0">
    <oddFooter>Page &amp;P of &amp;N</oddFooter>
  </headerFooter>
  <ignoredErrors>
    <ignoredError sqref="O6:O7 O3:O5 O18" emptyCellReference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9041-8F6A-4CE3-A60D-E73FC1968D1F}">
  <sheetPr>
    <tabColor rgb="FF44546A"/>
  </sheetPr>
  <dimension ref="A1:W83"/>
  <sheetViews>
    <sheetView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R14" sqref="R14"/>
    </sheetView>
  </sheetViews>
  <sheetFormatPr defaultRowHeight="15"/>
  <cols>
    <col min="1" max="1" width="19.28515625" style="19" customWidth="1"/>
    <col min="2" max="2" width="12.85546875" customWidth="1"/>
    <col min="3" max="14" width="12.5703125" customWidth="1"/>
    <col min="15" max="15" width="15.28515625" customWidth="1"/>
    <col min="16" max="16" width="2.7109375" customWidth="1"/>
    <col min="18" max="18" width="15.28515625" customWidth="1"/>
  </cols>
  <sheetData>
    <row r="1" spans="1:19" ht="30" customHeight="1" thickBot="1">
      <c r="A1" s="14" t="s">
        <v>0</v>
      </c>
      <c r="B1" s="27">
        <v>2021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9" ht="30" customHeight="1">
      <c r="A2" s="15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19" ht="15" customHeight="1">
      <c r="A3" s="16" t="s">
        <v>16</v>
      </c>
      <c r="B3" s="19" t="s">
        <v>17</v>
      </c>
      <c r="C3" s="25">
        <v>72.42</v>
      </c>
      <c r="D3" s="25">
        <v>72.42</v>
      </c>
      <c r="E3" s="25">
        <v>72.42</v>
      </c>
      <c r="F3" s="25">
        <v>72.42</v>
      </c>
      <c r="G3" s="25">
        <v>506.94</v>
      </c>
      <c r="H3" s="25"/>
      <c r="I3" s="25"/>
      <c r="J3" s="25"/>
      <c r="K3" s="25"/>
      <c r="L3" s="25"/>
      <c r="M3" s="25"/>
      <c r="N3" s="25"/>
      <c r="O3" s="22">
        <f>SUM('2021_Despesa'!$C3:$N3)</f>
        <v>796.62</v>
      </c>
    </row>
    <row r="4" spans="1:19" ht="15" customHeight="1" thickBot="1">
      <c r="A4" s="17" t="s">
        <v>18</v>
      </c>
      <c r="B4" s="19" t="s">
        <v>19</v>
      </c>
      <c r="C4" s="25">
        <v>131</v>
      </c>
      <c r="D4" s="25">
        <v>131</v>
      </c>
      <c r="E4" s="25">
        <v>131</v>
      </c>
      <c r="F4" s="25">
        <v>131</v>
      </c>
      <c r="G4" s="25">
        <v>131</v>
      </c>
      <c r="H4" s="25">
        <v>131</v>
      </c>
      <c r="I4" s="25">
        <v>131</v>
      </c>
      <c r="J4" s="25">
        <v>131</v>
      </c>
      <c r="K4" s="25">
        <v>131</v>
      </c>
      <c r="L4" s="25">
        <v>135</v>
      </c>
      <c r="M4" s="25">
        <v>134.69999999999999</v>
      </c>
      <c r="N4" s="25">
        <f>135.88</f>
        <v>135.88</v>
      </c>
      <c r="O4" s="22">
        <f>SUM('2021_Despesa'!$C4:$N4)</f>
        <v>1584.58</v>
      </c>
    </row>
    <row r="5" spans="1:19" ht="15" customHeight="1" thickBot="1">
      <c r="A5" s="18" t="s">
        <v>20</v>
      </c>
      <c r="B5" s="19" t="s">
        <v>21</v>
      </c>
      <c r="C5" s="25">
        <v>173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2">
        <f>SUM('2021_Despesa'!$C5:$N5)</f>
        <v>173</v>
      </c>
    </row>
    <row r="6" spans="1:19" ht="15" customHeight="1" thickBot="1">
      <c r="A6" s="17" t="s">
        <v>22</v>
      </c>
      <c r="B6" s="19" t="s">
        <v>23</v>
      </c>
      <c r="C6" s="25">
        <v>654.91</v>
      </c>
      <c r="D6" s="25">
        <v>654.91</v>
      </c>
      <c r="E6" s="25">
        <v>654.91</v>
      </c>
      <c r="F6" s="25">
        <v>654.91</v>
      </c>
      <c r="G6" s="25">
        <v>654.91</v>
      </c>
      <c r="H6" s="25">
        <v>1309.82</v>
      </c>
      <c r="I6" s="25">
        <v>356</v>
      </c>
      <c r="J6" s="25">
        <v>654.91</v>
      </c>
      <c r="K6" s="25">
        <v>654.91</v>
      </c>
      <c r="L6" s="25">
        <v>654.91</v>
      </c>
      <c r="M6" s="25">
        <v>654.91</v>
      </c>
      <c r="N6" s="25">
        <f>655.65</f>
        <v>655.65</v>
      </c>
      <c r="O6" s="22">
        <f>SUM('2021_Despesa'!$C6:$N6)</f>
        <v>8215.66</v>
      </c>
    </row>
    <row r="7" spans="1:19" ht="15" customHeight="1" thickBot="1">
      <c r="A7" s="18" t="s">
        <v>24</v>
      </c>
      <c r="B7" s="19" t="s">
        <v>25</v>
      </c>
      <c r="C7" s="21"/>
      <c r="D7" s="21"/>
      <c r="E7" s="21"/>
      <c r="F7" s="25">
        <v>128</v>
      </c>
      <c r="G7" s="21"/>
      <c r="H7" s="21"/>
      <c r="I7" s="21"/>
      <c r="J7" s="21"/>
      <c r="K7" s="21"/>
      <c r="L7" s="21"/>
      <c r="M7" s="21"/>
      <c r="N7" s="21"/>
      <c r="O7" s="22">
        <f>SUM('2021_Despesa'!$C7:$N7)</f>
        <v>128</v>
      </c>
    </row>
    <row r="8" spans="1:19" ht="15" customHeight="1" thickBot="1">
      <c r="A8" s="17" t="s">
        <v>26</v>
      </c>
      <c r="B8" s="19" t="s">
        <v>27</v>
      </c>
      <c r="C8" s="25"/>
      <c r="D8" s="21"/>
      <c r="E8" s="21"/>
      <c r="F8" s="21"/>
      <c r="G8" s="21"/>
      <c r="H8" s="21"/>
      <c r="I8" s="21"/>
      <c r="J8" s="21"/>
      <c r="K8" s="32"/>
      <c r="L8" s="21"/>
      <c r="M8" s="23"/>
      <c r="N8" s="21"/>
      <c r="O8" s="22">
        <f>SUM('2021_Despesa'!$C8:$N8)</f>
        <v>0</v>
      </c>
    </row>
    <row r="9" spans="1:19" ht="15" customHeight="1" thickBot="1">
      <c r="A9" s="18" t="s">
        <v>28</v>
      </c>
      <c r="B9" s="19" t="s">
        <v>29</v>
      </c>
      <c r="C9" s="23"/>
      <c r="D9" s="25">
        <v>145</v>
      </c>
      <c r="E9" s="25">
        <v>145</v>
      </c>
      <c r="F9" s="25">
        <v>145</v>
      </c>
      <c r="G9" s="23"/>
      <c r="H9" s="23"/>
      <c r="I9" s="23"/>
      <c r="J9" s="23"/>
      <c r="K9" s="32"/>
      <c r="L9" s="32"/>
      <c r="M9" s="32"/>
      <c r="N9" s="23"/>
      <c r="O9" s="22">
        <f>SUM('2021_Despesa'!$C9:$N9)</f>
        <v>435</v>
      </c>
    </row>
    <row r="10" spans="1:19" ht="15" customHeight="1" thickBot="1">
      <c r="A10" s="17" t="s">
        <v>30</v>
      </c>
      <c r="B10" s="19" t="s">
        <v>31</v>
      </c>
      <c r="C10" s="25">
        <v>195</v>
      </c>
      <c r="D10" s="25"/>
      <c r="E10" s="25"/>
      <c r="F10" s="25"/>
      <c r="G10" s="25"/>
      <c r="H10" s="25"/>
      <c r="I10" s="31"/>
      <c r="J10" s="25"/>
      <c r="K10" s="25"/>
      <c r="L10" s="31"/>
      <c r="M10" s="25"/>
      <c r="N10" s="25"/>
      <c r="O10" s="22">
        <f>SUM('2021_Despesa'!$C10:$N10)</f>
        <v>195</v>
      </c>
      <c r="S10" s="30"/>
    </row>
    <row r="11" spans="1:19" ht="15" customHeight="1" thickBot="1">
      <c r="A11" s="18" t="s">
        <v>32</v>
      </c>
      <c r="B11" s="19" t="s">
        <v>31</v>
      </c>
      <c r="C11" s="25"/>
      <c r="D11" s="25"/>
      <c r="E11" s="25"/>
      <c r="F11" s="31"/>
      <c r="G11" s="25">
        <f>21</f>
        <v>21</v>
      </c>
      <c r="H11" s="32"/>
      <c r="I11" s="23"/>
      <c r="J11" s="25">
        <f>187+95</f>
        <v>282</v>
      </c>
      <c r="K11" s="25">
        <f>108</f>
        <v>108</v>
      </c>
      <c r="L11" s="23"/>
      <c r="M11" s="25">
        <f>319+404</f>
        <v>723</v>
      </c>
      <c r="N11" s="25">
        <f>128+360</f>
        <v>488</v>
      </c>
      <c r="O11" s="22">
        <f>SUM('2021_Despesa'!$C11:$N11)</f>
        <v>1622</v>
      </c>
      <c r="R11" s="30"/>
    </row>
    <row r="12" spans="1:19" ht="15" customHeight="1" thickBot="1">
      <c r="A12" s="17" t="s">
        <v>34</v>
      </c>
      <c r="B12" s="19" t="s">
        <v>31</v>
      </c>
      <c r="C12" s="25">
        <f>100+100+50</f>
        <v>250</v>
      </c>
      <c r="D12" s="25">
        <f>100</f>
        <v>100</v>
      </c>
      <c r="E12" s="25">
        <v>50</v>
      </c>
      <c r="F12" s="25"/>
      <c r="G12" s="25">
        <f>100+100</f>
        <v>200</v>
      </c>
      <c r="H12" s="25">
        <v>300</v>
      </c>
      <c r="I12" s="25">
        <f>100+100</f>
        <v>200</v>
      </c>
      <c r="J12" s="25">
        <f>100+100+100</f>
        <v>300</v>
      </c>
      <c r="K12" s="25">
        <f>100+200+100+100</f>
        <v>500</v>
      </c>
      <c r="L12" s="25">
        <f>100+100+100</f>
        <v>300</v>
      </c>
      <c r="M12" s="25">
        <f>100+50+50+100</f>
        <v>300</v>
      </c>
      <c r="N12" s="25">
        <f>100+100+100+100+100+100</f>
        <v>600</v>
      </c>
      <c r="O12" s="22">
        <f>SUM('2021_Despesa'!$C12:$N12)</f>
        <v>3100</v>
      </c>
    </row>
    <row r="13" spans="1:19" ht="15" customHeight="1" thickBot="1">
      <c r="A13" s="18" t="s">
        <v>35</v>
      </c>
      <c r="B13" s="19" t="s">
        <v>31</v>
      </c>
      <c r="C13" s="25">
        <v>35</v>
      </c>
      <c r="D13" s="25"/>
      <c r="E13" s="25"/>
      <c r="F13" s="25">
        <f>35</f>
        <v>35</v>
      </c>
      <c r="G13" s="25">
        <v>20</v>
      </c>
      <c r="H13" s="25">
        <f>35</f>
        <v>35</v>
      </c>
      <c r="I13" s="25">
        <f>20+20</f>
        <v>40</v>
      </c>
      <c r="J13" s="25">
        <f>35</f>
        <v>35</v>
      </c>
      <c r="K13" s="25">
        <f>20</f>
        <v>20</v>
      </c>
      <c r="L13" s="25">
        <f>20</f>
        <v>20</v>
      </c>
      <c r="M13" s="23"/>
      <c r="N13" s="25">
        <f>40</f>
        <v>40</v>
      </c>
      <c r="O13" s="22">
        <f>SUM('2021_Despesa'!$C13:$N13)</f>
        <v>280</v>
      </c>
    </row>
    <row r="14" spans="1:19" ht="15" customHeight="1" thickBot="1">
      <c r="A14" s="17" t="s">
        <v>36</v>
      </c>
      <c r="B14" s="19" t="s">
        <v>37</v>
      </c>
      <c r="C14" s="25">
        <v>77</v>
      </c>
      <c r="D14" s="25">
        <v>50</v>
      </c>
      <c r="E14" s="25">
        <v>50</v>
      </c>
      <c r="F14" s="25">
        <v>50</v>
      </c>
      <c r="G14" s="25">
        <v>51</v>
      </c>
      <c r="H14" s="25">
        <v>51</v>
      </c>
      <c r="I14" s="25">
        <v>51</v>
      </c>
      <c r="J14" s="25">
        <v>65</v>
      </c>
      <c r="K14" s="25">
        <v>75</v>
      </c>
      <c r="L14" s="25">
        <v>55</v>
      </c>
      <c r="M14" s="25">
        <v>54.99</v>
      </c>
      <c r="N14" s="25">
        <f>54.99</f>
        <v>54.99</v>
      </c>
      <c r="O14" s="22">
        <f>SUM('2021_Despesa'!$C14:$N14)</f>
        <v>684.98</v>
      </c>
    </row>
    <row r="15" spans="1:19" ht="15" customHeight="1" thickBot="1">
      <c r="A15" s="18" t="s">
        <v>38</v>
      </c>
      <c r="B15" s="19" t="s">
        <v>39</v>
      </c>
      <c r="C15" s="25">
        <v>40</v>
      </c>
      <c r="D15" s="25">
        <v>47</v>
      </c>
      <c r="E15" s="25">
        <v>54</v>
      </c>
      <c r="F15" s="25">
        <v>50</v>
      </c>
      <c r="G15" s="25">
        <v>37.5</v>
      </c>
      <c r="H15" s="25">
        <v>47</v>
      </c>
      <c r="I15" s="25">
        <v>44</v>
      </c>
      <c r="J15" s="25">
        <v>37.4</v>
      </c>
      <c r="K15" s="25">
        <f>69/2</f>
        <v>34.5</v>
      </c>
      <c r="L15" s="25">
        <f>105.5/2</f>
        <v>52.75</v>
      </c>
      <c r="M15" s="25">
        <v>30</v>
      </c>
      <c r="N15" s="25">
        <f>34</f>
        <v>34</v>
      </c>
      <c r="O15" s="22">
        <f>SUM('2021_Despesa'!$C15:$N15)</f>
        <v>508.15</v>
      </c>
      <c r="R15" s="30"/>
    </row>
    <row r="16" spans="1:19" ht="15" customHeight="1" thickBot="1">
      <c r="A16" s="17" t="s">
        <v>40</v>
      </c>
      <c r="B16" s="19" t="s">
        <v>41</v>
      </c>
      <c r="C16" s="25">
        <v>186</v>
      </c>
      <c r="D16" s="25">
        <v>206</v>
      </c>
      <c r="E16" s="25">
        <v>176</v>
      </c>
      <c r="F16" s="25">
        <v>187.5</v>
      </c>
      <c r="G16" s="25">
        <v>180</v>
      </c>
      <c r="H16" s="25">
        <v>161</v>
      </c>
      <c r="I16" s="25">
        <v>147.5</v>
      </c>
      <c r="J16" s="25">
        <v>145.5</v>
      </c>
      <c r="K16" s="25">
        <f>303.5/2</f>
        <v>151.75</v>
      </c>
      <c r="L16" s="25">
        <v>147</v>
      </c>
      <c r="M16" s="25">
        <f>341/2</f>
        <v>170.5</v>
      </c>
      <c r="N16" s="25">
        <v>162.5</v>
      </c>
      <c r="O16" s="22">
        <f>SUM('2021_Despesa'!$C16:$N16)</f>
        <v>2021.25</v>
      </c>
    </row>
    <row r="17" spans="1:22" ht="15" customHeight="1" thickBot="1">
      <c r="A17" s="18" t="s">
        <v>42</v>
      </c>
      <c r="B17" s="19" t="s">
        <v>39</v>
      </c>
      <c r="C17" s="25">
        <v>175</v>
      </c>
      <c r="D17" s="25">
        <v>175</v>
      </c>
      <c r="E17" s="25">
        <v>170</v>
      </c>
      <c r="F17" s="25">
        <v>170</v>
      </c>
      <c r="G17" s="25">
        <v>170</v>
      </c>
      <c r="H17" s="25">
        <v>170</v>
      </c>
      <c r="I17" s="25">
        <v>170</v>
      </c>
      <c r="J17" s="25">
        <v>170</v>
      </c>
      <c r="K17" s="25">
        <v>120</v>
      </c>
      <c r="L17" s="25">
        <v>200</v>
      </c>
      <c r="M17" s="25">
        <f>120</f>
        <v>120</v>
      </c>
      <c r="N17" s="25">
        <f>120</f>
        <v>120</v>
      </c>
      <c r="O17" s="22">
        <f>SUM('2021_Despesa'!$C17:$N17)</f>
        <v>1930</v>
      </c>
    </row>
    <row r="18" spans="1:22" ht="15" customHeight="1" thickBot="1">
      <c r="A18" s="17" t="s">
        <v>43</v>
      </c>
      <c r="B18" s="19" t="s">
        <v>31</v>
      </c>
      <c r="C18" s="25">
        <v>86.6</v>
      </c>
      <c r="D18" s="21"/>
      <c r="E18" s="21"/>
      <c r="F18" s="25"/>
      <c r="G18" s="25">
        <v>94.5</v>
      </c>
      <c r="H18" s="25"/>
      <c r="I18" s="25"/>
      <c r="J18" s="25"/>
      <c r="K18" s="25">
        <v>118.5</v>
      </c>
      <c r="L18" s="21"/>
      <c r="M18" s="23"/>
      <c r="N18" s="21"/>
      <c r="O18" s="22">
        <f>SUM('2021_Despesa'!$C18:$N18)</f>
        <v>299.60000000000002</v>
      </c>
    </row>
    <row r="19" spans="1:22" ht="15" customHeight="1" thickBot="1">
      <c r="A19" s="18" t="s">
        <v>44</v>
      </c>
      <c r="B19" s="19" t="s">
        <v>45</v>
      </c>
      <c r="C19" s="25">
        <v>113.53</v>
      </c>
      <c r="D19" s="25">
        <v>113.53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2">
        <f>SUM('2021_Despesa'!$C19:$N19)</f>
        <v>227.06</v>
      </c>
    </row>
    <row r="20" spans="1:22" ht="15" customHeight="1" thickBot="1">
      <c r="A20" s="17" t="s">
        <v>46</v>
      </c>
      <c r="B20" s="19" t="s">
        <v>23</v>
      </c>
      <c r="C20" s="25">
        <v>98.15</v>
      </c>
      <c r="D20" s="25">
        <v>98.15</v>
      </c>
      <c r="E20" s="25">
        <v>98.15</v>
      </c>
      <c r="F20" s="25">
        <v>70</v>
      </c>
      <c r="G20" s="25">
        <v>120</v>
      </c>
      <c r="H20" s="25">
        <v>180</v>
      </c>
      <c r="I20" s="25">
        <f>110+29.92</f>
        <v>139.92000000000002</v>
      </c>
      <c r="J20" s="25">
        <f>110+29.92+86.47</f>
        <v>226.39000000000001</v>
      </c>
      <c r="K20" s="25">
        <f>226.66</f>
        <v>226.66</v>
      </c>
      <c r="L20" s="25">
        <f>226.66</f>
        <v>226.66</v>
      </c>
      <c r="M20" s="25">
        <f>176.67+30</f>
        <v>206.67</v>
      </c>
      <c r="N20" s="25">
        <f>30</f>
        <v>30</v>
      </c>
      <c r="O20" s="22">
        <f>SUM('2021_Despesa'!$C20:$N20)</f>
        <v>1720.7500000000005</v>
      </c>
      <c r="V20" s="30"/>
    </row>
    <row r="21" spans="1:22" ht="15" customHeight="1" thickBot="1">
      <c r="A21" s="18" t="s">
        <v>47</v>
      </c>
      <c r="B21" s="19" t="s">
        <v>64</v>
      </c>
      <c r="C21" s="25">
        <v>104.85</v>
      </c>
      <c r="D21" s="25">
        <v>104.85</v>
      </c>
      <c r="E21" s="25">
        <v>104.85</v>
      </c>
      <c r="F21" s="25">
        <v>158</v>
      </c>
      <c r="G21" s="25">
        <v>95</v>
      </c>
      <c r="H21" s="25">
        <v>95</v>
      </c>
      <c r="I21" s="25">
        <v>95</v>
      </c>
      <c r="J21" s="25">
        <v>95</v>
      </c>
      <c r="K21" s="25"/>
      <c r="L21" s="25"/>
      <c r="M21" s="25"/>
      <c r="N21" s="25">
        <f>30</f>
        <v>30</v>
      </c>
      <c r="O21" s="22">
        <f>SUM('2021_Despesa'!$C21:$N21)</f>
        <v>882.55</v>
      </c>
    </row>
    <row r="22" spans="1:22" ht="15" customHeight="1" thickBot="1">
      <c r="A22" s="17" t="s">
        <v>65</v>
      </c>
      <c r="B22" s="19" t="s">
        <v>31</v>
      </c>
      <c r="C22" s="25">
        <v>110</v>
      </c>
      <c r="D22" s="25">
        <v>115</v>
      </c>
      <c r="E22" s="25">
        <v>200</v>
      </c>
      <c r="F22" s="25">
        <v>28</v>
      </c>
      <c r="G22" s="23"/>
      <c r="H22" s="23"/>
      <c r="I22" s="23"/>
      <c r="J22" s="23"/>
      <c r="K22" s="23"/>
      <c r="L22" s="25">
        <f>53</f>
        <v>53</v>
      </c>
      <c r="M22" s="23"/>
      <c r="N22" s="25">
        <v>75</v>
      </c>
      <c r="O22" s="22">
        <f>SUM('2021_Despesa'!$C22:$N22)</f>
        <v>581</v>
      </c>
    </row>
    <row r="23" spans="1:22" ht="15" customHeight="1" thickBot="1">
      <c r="A23" s="18" t="s">
        <v>66</v>
      </c>
      <c r="B23" s="19" t="s">
        <v>31</v>
      </c>
      <c r="C23" s="25">
        <v>30</v>
      </c>
      <c r="D23" s="25"/>
      <c r="E23" s="25">
        <v>30</v>
      </c>
      <c r="F23" s="25">
        <v>30</v>
      </c>
      <c r="G23" s="25"/>
      <c r="H23" s="25"/>
      <c r="I23" s="25"/>
      <c r="J23" s="25">
        <f>30</f>
        <v>30</v>
      </c>
      <c r="K23" s="25">
        <v>35</v>
      </c>
      <c r="L23" s="23"/>
      <c r="M23" s="23"/>
      <c r="N23" s="25">
        <f>36</f>
        <v>36</v>
      </c>
      <c r="O23" s="22">
        <f>SUM('2021_Despesa'!$C23:$N23)</f>
        <v>191</v>
      </c>
    </row>
    <row r="24" spans="1:22" ht="15" customHeight="1" thickBot="1">
      <c r="A24" s="17" t="s">
        <v>50</v>
      </c>
      <c r="B24" s="19" t="s">
        <v>31</v>
      </c>
      <c r="C24" s="23"/>
      <c r="D24" s="23"/>
      <c r="E24" s="23"/>
      <c r="F24" s="23"/>
      <c r="G24" s="23"/>
      <c r="H24" s="23"/>
      <c r="I24" s="32"/>
      <c r="J24" s="23"/>
      <c r="K24" s="25"/>
      <c r="L24" s="23"/>
      <c r="M24" s="26"/>
      <c r="N24" s="26"/>
      <c r="O24" s="22">
        <f>SUM('2021_Despesa'!$C24:$N24)</f>
        <v>0</v>
      </c>
    </row>
    <row r="25" spans="1:22" ht="15" customHeight="1" thickBot="1">
      <c r="A25" s="18" t="s">
        <v>67</v>
      </c>
      <c r="B25" s="19" t="s">
        <v>31</v>
      </c>
      <c r="C25" s="23"/>
      <c r="D25" s="25">
        <f>11.9+106.98</f>
        <v>118.88000000000001</v>
      </c>
      <c r="E25" s="23"/>
      <c r="F25" s="23"/>
      <c r="G25" s="23"/>
      <c r="H25" s="23"/>
      <c r="I25" s="25">
        <f>124.4+14.9+49.9+44</f>
        <v>233.20000000000002</v>
      </c>
      <c r="J25" s="23"/>
      <c r="K25" s="25">
        <f>20</f>
        <v>20</v>
      </c>
      <c r="L25" s="25">
        <f>47</f>
        <v>47</v>
      </c>
      <c r="M25" s="25"/>
      <c r="N25" s="25">
        <f>24.9+10</f>
        <v>34.9</v>
      </c>
      <c r="O25" s="22">
        <f>SUM('2021_Despesa'!$C25:$N25)</f>
        <v>453.98</v>
      </c>
    </row>
    <row r="26" spans="1:22" ht="15" customHeight="1" thickBot="1">
      <c r="A26" s="17" t="s">
        <v>68</v>
      </c>
      <c r="B26" s="19" t="s">
        <v>19</v>
      </c>
      <c r="C26" s="25">
        <v>20</v>
      </c>
      <c r="D26" s="25">
        <v>20</v>
      </c>
      <c r="E26" s="25">
        <v>20</v>
      </c>
      <c r="F26" s="25">
        <v>20</v>
      </c>
      <c r="G26" s="25">
        <v>20</v>
      </c>
      <c r="H26" s="25">
        <v>20</v>
      </c>
      <c r="I26" s="25">
        <v>20</v>
      </c>
      <c r="J26" s="25">
        <f>20+22</f>
        <v>42</v>
      </c>
      <c r="K26" s="25">
        <v>20</v>
      </c>
      <c r="L26" s="25">
        <v>20</v>
      </c>
      <c r="M26" s="25">
        <v>20</v>
      </c>
      <c r="N26" s="25">
        <v>39.9</v>
      </c>
      <c r="O26" s="22">
        <f>SUM('2021_Despesa'!$C26:$N26)</f>
        <v>281.89999999999998</v>
      </c>
    </row>
    <row r="27" spans="1:22" ht="15" customHeight="1">
      <c r="A27" s="18" t="s">
        <v>54</v>
      </c>
      <c r="B27" s="19" t="s">
        <v>31</v>
      </c>
      <c r="C27" s="25">
        <f>9.75</f>
        <v>9.75</v>
      </c>
      <c r="D27" s="25">
        <f>29.19</f>
        <v>29.19</v>
      </c>
      <c r="E27" s="25">
        <f>18.41+23.07+30.7+76.89</f>
        <v>149.07</v>
      </c>
      <c r="F27" s="25">
        <f>4+30.57</f>
        <v>34.57</v>
      </c>
      <c r="G27" s="25">
        <f>35.7+7.68+35.76+29.46+11.5+4.8+9</f>
        <v>133.89999999999998</v>
      </c>
      <c r="H27" s="25">
        <f>55.45+14.08+24.38+75.14</f>
        <v>169.05</v>
      </c>
      <c r="I27" s="25">
        <f>44+18.34+24</f>
        <v>86.34</v>
      </c>
      <c r="J27" s="25">
        <f>26.5+36.29+57+76+60</f>
        <v>255.79</v>
      </c>
      <c r="K27" s="25">
        <f>19.3+50+53+50</f>
        <v>172.3</v>
      </c>
      <c r="L27" s="25">
        <f>71+10+7+23+34.5+29</f>
        <v>174.5</v>
      </c>
      <c r="M27" s="25">
        <f>78.45+61.93+30.35+27.96+31.73+41.98</f>
        <v>272.39999999999998</v>
      </c>
      <c r="N27" s="25">
        <f>94.71+26.97+5.8</f>
        <v>127.47999999999999</v>
      </c>
      <c r="O27" s="22">
        <f>SUM('2021_Despesa'!$C27:$N27)</f>
        <v>1614.3400000000001</v>
      </c>
    </row>
    <row r="28" spans="1:22" ht="15" customHeight="1" thickBot="1">
      <c r="A28" s="17" t="s">
        <v>69</v>
      </c>
      <c r="B28" s="19" t="s">
        <v>31</v>
      </c>
      <c r="C28" s="23"/>
      <c r="D28" s="25">
        <f>58.15</f>
        <v>58.15</v>
      </c>
      <c r="E28" s="23"/>
      <c r="F28" s="25">
        <v>26.62</v>
      </c>
      <c r="G28" s="25">
        <f>45.68+34.8</f>
        <v>80.47999999999999</v>
      </c>
      <c r="H28" s="25">
        <f>42.39+22.66+59.8+20.2</f>
        <v>145.04999999999998</v>
      </c>
      <c r="I28" s="25">
        <f>20+25.26+24.47+27</f>
        <v>96.73</v>
      </c>
      <c r="J28" s="25">
        <f>24.65+24.11+25+32</f>
        <v>105.75999999999999</v>
      </c>
      <c r="K28" s="25">
        <f>16+40</f>
        <v>56</v>
      </c>
      <c r="L28" s="25">
        <f>51+26</f>
        <v>77</v>
      </c>
      <c r="M28" s="25">
        <f>25.9</f>
        <v>25.9</v>
      </c>
      <c r="N28" s="23"/>
      <c r="O28" s="22">
        <f>SUM('2021_Despesa'!$C28:$N28)</f>
        <v>671.68999999999994</v>
      </c>
    </row>
    <row r="29" spans="1:22" ht="15" customHeight="1" thickBot="1">
      <c r="A29" s="18" t="s">
        <v>70</v>
      </c>
      <c r="B29" s="19" t="s">
        <v>31</v>
      </c>
      <c r="C29" s="25">
        <f>22</f>
        <v>22</v>
      </c>
      <c r="D29" s="25">
        <f>30</f>
        <v>30</v>
      </c>
      <c r="E29" s="23"/>
      <c r="F29" s="23"/>
      <c r="G29" s="25">
        <v>24.5</v>
      </c>
      <c r="H29" s="25">
        <v>34.5</v>
      </c>
      <c r="I29" s="23"/>
      <c r="J29" s="23"/>
      <c r="K29" s="25">
        <f>36.5</f>
        <v>36.5</v>
      </c>
      <c r="L29" s="25">
        <f>45</f>
        <v>45</v>
      </c>
      <c r="M29" s="25"/>
      <c r="N29" s="25">
        <f>55</f>
        <v>55</v>
      </c>
      <c r="O29" s="22">
        <f>SUM('2021_Despesa'!$C29:$N29)</f>
        <v>247.5</v>
      </c>
    </row>
    <row r="30" spans="1:22" ht="15" customHeight="1" thickBot="1">
      <c r="A30" s="17" t="s">
        <v>71</v>
      </c>
      <c r="B30" s="19" t="s">
        <v>31</v>
      </c>
      <c r="C30" s="23"/>
      <c r="D30" s="23"/>
      <c r="E30" s="25">
        <f>25.87</f>
        <v>25.87</v>
      </c>
      <c r="F30" s="25">
        <f>23.1</f>
        <v>23.1</v>
      </c>
      <c r="G30" s="25">
        <f>10.05+38.76+5.8</f>
        <v>54.61</v>
      </c>
      <c r="H30" s="25">
        <f>51.93</f>
        <v>51.93</v>
      </c>
      <c r="I30" s="23"/>
      <c r="J30" s="25"/>
      <c r="K30" s="25">
        <f>12+46+28+150+41</f>
        <v>277</v>
      </c>
      <c r="L30" s="25">
        <f>28+15</f>
        <v>43</v>
      </c>
      <c r="M30" s="25">
        <f>27</f>
        <v>27</v>
      </c>
      <c r="N30" s="23"/>
      <c r="O30" s="22">
        <f>SUM('2021_Despesa'!$C30:$N30)</f>
        <v>502.51</v>
      </c>
    </row>
    <row r="31" spans="1:22" ht="15" customHeight="1" thickBot="1">
      <c r="A31" s="18" t="s">
        <v>72</v>
      </c>
      <c r="B31" s="19" t="s">
        <v>31</v>
      </c>
      <c r="C31" s="25">
        <f>250+30</f>
        <v>280</v>
      </c>
      <c r="D31" s="25">
        <f>20+120</f>
        <v>140</v>
      </c>
      <c r="E31" s="25">
        <f>100</f>
        <v>100</v>
      </c>
      <c r="F31" s="25">
        <f>60+100+50+300+30</f>
        <v>540</v>
      </c>
      <c r="G31" s="25">
        <f>50+50+50+200+99</f>
        <v>449</v>
      </c>
      <c r="H31" s="25">
        <f>20+50+50+30</f>
        <v>150</v>
      </c>
      <c r="I31" s="25">
        <f>80+50+40+20+59+50+30+50+50</f>
        <v>429</v>
      </c>
      <c r="J31" s="25">
        <f>100+57+100+52</f>
        <v>309</v>
      </c>
      <c r="K31" s="25">
        <f>30+50+50</f>
        <v>130</v>
      </c>
      <c r="L31" s="25">
        <f>50</f>
        <v>50</v>
      </c>
      <c r="M31" s="25">
        <f>99</f>
        <v>99</v>
      </c>
      <c r="N31" s="23"/>
      <c r="O31" s="22">
        <f>SUM('2021_Despesa'!$C31:$N31)</f>
        <v>2676</v>
      </c>
      <c r="R31" s="30"/>
    </row>
    <row r="32" spans="1:22" ht="15" customHeight="1" thickBot="1">
      <c r="A32" s="17" t="s">
        <v>73</v>
      </c>
      <c r="B32" s="19" t="s">
        <v>31</v>
      </c>
      <c r="C32" s="32"/>
      <c r="D32" s="23"/>
      <c r="E32" s="23"/>
      <c r="F32" s="23"/>
      <c r="G32" s="25">
        <v>99</v>
      </c>
      <c r="H32" s="25">
        <v>152.1</v>
      </c>
      <c r="I32" s="23"/>
      <c r="J32" s="23"/>
      <c r="K32" s="25">
        <f>171+40</f>
        <v>211</v>
      </c>
      <c r="L32" s="23"/>
      <c r="M32" s="23"/>
      <c r="N32" s="25">
        <f>194.75</f>
        <v>194.75</v>
      </c>
      <c r="O32" s="22">
        <f>SUM('2021_Despesa'!$C32:$N32)</f>
        <v>656.85</v>
      </c>
    </row>
    <row r="33" spans="1:18" ht="15" customHeight="1" thickBot="1">
      <c r="A33" s="18" t="s">
        <v>74</v>
      </c>
      <c r="B33" s="19" t="s">
        <v>31</v>
      </c>
      <c r="C33" s="23"/>
      <c r="D33" s="23"/>
      <c r="E33" s="23"/>
      <c r="F33" s="23"/>
      <c r="G33" s="23"/>
      <c r="H33" s="25">
        <v>51</v>
      </c>
      <c r="I33" s="23"/>
      <c r="J33" s="23"/>
      <c r="K33" s="23"/>
      <c r="L33" s="23"/>
      <c r="M33" s="23"/>
      <c r="N33" s="25">
        <f>30</f>
        <v>30</v>
      </c>
      <c r="O33" s="22">
        <f>SUM('2021_Despesa'!$C33:$N33)</f>
        <v>81</v>
      </c>
    </row>
    <row r="34" spans="1:18" ht="15" customHeight="1" thickBot="1">
      <c r="A34" s="17" t="s">
        <v>75</v>
      </c>
      <c r="B34" s="19" t="s">
        <v>31</v>
      </c>
      <c r="C34" s="25">
        <f>101.95</f>
        <v>101.95</v>
      </c>
      <c r="D34" s="23"/>
      <c r="E34" s="23"/>
      <c r="F34" s="25">
        <v>71.95</v>
      </c>
      <c r="G34" s="23"/>
      <c r="H34" s="23"/>
      <c r="I34" s="23"/>
      <c r="J34" s="23"/>
      <c r="K34" s="25"/>
      <c r="L34" s="25">
        <f>40+100</f>
        <v>140</v>
      </c>
      <c r="M34" s="25">
        <f>100</f>
        <v>100</v>
      </c>
      <c r="N34" s="25">
        <f>45</f>
        <v>45</v>
      </c>
      <c r="O34" s="22">
        <f>SUM('2021_Despesa'!$C34:$N34)</f>
        <v>458.9</v>
      </c>
    </row>
    <row r="35" spans="1:18" ht="15" customHeight="1">
      <c r="A35" s="18" t="s">
        <v>76</v>
      </c>
      <c r="B35" s="19" t="s">
        <v>31</v>
      </c>
      <c r="C35" s="23"/>
      <c r="D35" s="32"/>
      <c r="E35" s="25">
        <v>50</v>
      </c>
      <c r="F35" s="23"/>
      <c r="G35" s="23"/>
      <c r="H35" s="23"/>
      <c r="I35" s="23"/>
      <c r="J35" s="32"/>
      <c r="K35" s="23"/>
      <c r="L35" s="23"/>
      <c r="M35" s="23"/>
      <c r="N35" s="23"/>
      <c r="O35" s="22">
        <f>SUM('2021_Despesa'!$C35:$N35)</f>
        <v>50</v>
      </c>
    </row>
    <row r="36" spans="1:18" ht="15" customHeight="1">
      <c r="A36" s="17" t="s">
        <v>77</v>
      </c>
      <c r="B36" s="29" t="s">
        <v>31</v>
      </c>
      <c r="C36" s="23"/>
      <c r="D36" s="23"/>
      <c r="E36" s="23"/>
      <c r="F36" s="23"/>
      <c r="G36" s="23"/>
      <c r="H36" s="23"/>
      <c r="I36" s="23"/>
      <c r="J36" s="25">
        <f>131.4+83</f>
        <v>214.4</v>
      </c>
      <c r="K36" s="25">
        <f>83</f>
        <v>83</v>
      </c>
      <c r="L36" s="32"/>
      <c r="M36" s="23"/>
      <c r="N36" s="23"/>
      <c r="O36" s="22">
        <f>SUM('2021_Despesa'!$C36:$N36)</f>
        <v>297.39999999999998</v>
      </c>
    </row>
    <row r="37" spans="1:18" ht="15" customHeight="1">
      <c r="A37" s="18" t="s">
        <v>78</v>
      </c>
      <c r="B37" s="29" t="s">
        <v>31</v>
      </c>
      <c r="C37" s="23"/>
      <c r="D37" s="23"/>
      <c r="E37" s="23"/>
      <c r="F37" s="23"/>
      <c r="G37" s="23"/>
      <c r="H37" s="23"/>
      <c r="I37" s="25">
        <v>850</v>
      </c>
      <c r="J37" s="23"/>
      <c r="K37" s="23"/>
      <c r="L37" s="23"/>
      <c r="M37" s="23"/>
      <c r="N37" s="23"/>
      <c r="O37" s="22">
        <f>SUM('2021_Despesa'!$C37:$N37)</f>
        <v>850</v>
      </c>
    </row>
    <row r="38" spans="1:18" ht="15" customHeight="1">
      <c r="A38" s="17" t="s">
        <v>79</v>
      </c>
      <c r="B38" s="29" t="s">
        <v>31</v>
      </c>
      <c r="C38" s="23"/>
      <c r="D38" s="23"/>
      <c r="E38" s="32"/>
      <c r="F38" s="23"/>
      <c r="G38" s="23"/>
      <c r="H38" s="32"/>
      <c r="I38" s="23"/>
      <c r="J38" s="23"/>
      <c r="K38" s="25">
        <v>100</v>
      </c>
      <c r="L38" s="25"/>
      <c r="M38" s="25"/>
      <c r="N38" s="25">
        <f>2499.92+150+1800+180+1800+142+99</f>
        <v>6670.92</v>
      </c>
      <c r="O38" s="22">
        <f>SUM('2021_Despesa'!$C38:$N38)</f>
        <v>6770.92</v>
      </c>
    </row>
    <row r="39" spans="1:18" ht="15" customHeight="1">
      <c r="A39" s="18" t="s">
        <v>80</v>
      </c>
      <c r="B39" s="29" t="s">
        <v>31</v>
      </c>
      <c r="C39" s="23"/>
      <c r="D39" s="23"/>
      <c r="E39" s="23"/>
      <c r="F39" s="23"/>
      <c r="G39" s="23"/>
      <c r="H39" s="23"/>
      <c r="I39" s="23"/>
      <c r="J39" s="23"/>
      <c r="K39" s="25">
        <f>13</f>
        <v>13</v>
      </c>
      <c r="L39" s="25">
        <f>22</f>
        <v>22</v>
      </c>
      <c r="M39" s="25">
        <f>45.42+25</f>
        <v>70.42</v>
      </c>
      <c r="N39" s="25">
        <f>25+20+25</f>
        <v>70</v>
      </c>
      <c r="O39" s="22">
        <f>SUM('2021_Despesa'!$C39:$N39)</f>
        <v>175.42000000000002</v>
      </c>
    </row>
    <row r="40" spans="1:18" ht="15" customHeight="1">
      <c r="A40" s="17" t="s">
        <v>81</v>
      </c>
      <c r="B40" s="29" t="s">
        <v>31</v>
      </c>
      <c r="C40" s="23"/>
      <c r="D40" s="23"/>
      <c r="E40" s="23"/>
      <c r="F40" s="23"/>
      <c r="G40" s="23"/>
      <c r="H40" s="23"/>
      <c r="I40" s="23"/>
      <c r="J40" s="23"/>
      <c r="K40" s="23"/>
      <c r="L40" s="35">
        <f>2880+8120+2000+750</f>
        <v>13750</v>
      </c>
      <c r="M40" s="23"/>
      <c r="N40" s="35">
        <f>4090+9873</f>
        <v>13963</v>
      </c>
      <c r="O40" s="22">
        <f>SUM('2021_Despesa'!$C40:$N40)</f>
        <v>27713</v>
      </c>
    </row>
    <row r="41" spans="1:18" ht="15" customHeight="1">
      <c r="A41" s="18" t="s">
        <v>82</v>
      </c>
      <c r="B41" s="29" t="s">
        <v>31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5">
        <f>12+2+12+10</f>
        <v>36</v>
      </c>
      <c r="O41" s="22">
        <f>SUM('2021_Despesa'!$C41:$N41)</f>
        <v>36</v>
      </c>
    </row>
    <row r="42" spans="1:18" ht="15" customHeight="1">
      <c r="A42" s="17" t="s">
        <v>83</v>
      </c>
      <c r="B42" s="29" t="s">
        <v>31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5">
        <v>450</v>
      </c>
      <c r="N42" s="25">
        <v>1050</v>
      </c>
      <c r="O42" s="22">
        <f>SUM('2021_Despesa'!$C42:$N42)</f>
        <v>1500</v>
      </c>
    </row>
    <row r="43" spans="1:18" ht="15" customHeight="1">
      <c r="A43" s="18" t="s">
        <v>84</v>
      </c>
      <c r="B43" s="29" t="s">
        <v>31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5">
        <f>20</f>
        <v>20</v>
      </c>
      <c r="N43" s="23"/>
      <c r="O43" s="22">
        <f>SUM('2021_Despesa'!$C43:$N43)</f>
        <v>20</v>
      </c>
      <c r="R43" s="30"/>
    </row>
    <row r="44" spans="1:18" ht="15" customHeight="1">
      <c r="A44" s="17" t="s">
        <v>85</v>
      </c>
      <c r="B44" s="29" t="s">
        <v>31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5">
        <f>260</f>
        <v>260</v>
      </c>
      <c r="O44" s="22">
        <f>SUM('2021_Despesa'!$C44:$N44)</f>
        <v>260</v>
      </c>
    </row>
    <row r="45" spans="1:18" ht="15" customHeight="1">
      <c r="A45" s="18" t="s">
        <v>86</v>
      </c>
      <c r="B45" s="29" t="s">
        <v>87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5">
        <f>1520.53</f>
        <v>1520.53</v>
      </c>
      <c r="O45" s="22">
        <f>SUM('2021_Despesa'!$C45:$N45)</f>
        <v>1520.53</v>
      </c>
    </row>
    <row r="46" spans="1:18" ht="15" customHeight="1">
      <c r="A46" s="17" t="s">
        <v>88</v>
      </c>
      <c r="B46" s="29" t="s">
        <v>31</v>
      </c>
      <c r="C46" s="23"/>
      <c r="D46" s="23"/>
      <c r="E46" s="23"/>
      <c r="F46" s="23"/>
      <c r="G46" s="23"/>
      <c r="H46" s="23"/>
      <c r="I46" s="23"/>
      <c r="J46" s="25">
        <f>20+10</f>
        <v>30</v>
      </c>
      <c r="K46" s="25">
        <f>10</f>
        <v>10</v>
      </c>
      <c r="L46" s="25">
        <f>10</f>
        <v>10</v>
      </c>
      <c r="M46" s="25">
        <f>10</f>
        <v>10</v>
      </c>
      <c r="N46" s="25">
        <f>10</f>
        <v>10</v>
      </c>
      <c r="O46" s="22">
        <f>SUM('2021_Despesa'!$C46:$N46)</f>
        <v>70</v>
      </c>
    </row>
    <row r="47" spans="1:18" ht="15" customHeight="1">
      <c r="A47" s="19" t="s">
        <v>58</v>
      </c>
      <c r="C47" s="24">
        <f>SUBTOTAL(109,Despesas6[Jan])</f>
        <v>2966.16</v>
      </c>
      <c r="D47" s="24">
        <f>SUBTOTAL(109,Despesas6[Fev])</f>
        <v>2409.08</v>
      </c>
      <c r="E47" s="24">
        <f>SUBTOTAL(109,Despesas6[Mar])</f>
        <v>2281.27</v>
      </c>
      <c r="F47" s="24">
        <f>SUBTOTAL(109,Despesas6[Abr])</f>
        <v>2626.0699999999997</v>
      </c>
      <c r="G47" s="24">
        <f>SUBTOTAL(109,Despesas6[Mai])</f>
        <v>3143.34</v>
      </c>
      <c r="H47" s="24">
        <f>SUBTOTAL(109,Despesas6[Jun])</f>
        <v>3253.45</v>
      </c>
      <c r="I47" s="24">
        <f>SUBTOTAL(109,Despesas6[Jul])</f>
        <v>3089.69</v>
      </c>
      <c r="J47" s="24">
        <f>SUBTOTAL(109,Despesas6[Ago])</f>
        <v>3129.15</v>
      </c>
      <c r="K47" s="24">
        <f>SUBTOTAL(109,Despesas6[Set])</f>
        <v>3304.12</v>
      </c>
      <c r="L47" s="24">
        <f>SUBTOTAL(109,Despesas6[Out])</f>
        <v>16222.82</v>
      </c>
      <c r="M47" s="24">
        <f>SUBTOTAL(109,Despesas6[Nov])</f>
        <v>3489.4900000000002</v>
      </c>
      <c r="N47" s="24">
        <f>SUBTOTAL(109,Despesas6[Dez])</f>
        <v>26569.5</v>
      </c>
      <c r="O47" s="24">
        <f>SUBTOTAL(109,Despesas6[Ano])</f>
        <v>72484.139999999985</v>
      </c>
    </row>
    <row r="50" spans="1:14">
      <c r="F50" s="30"/>
    </row>
    <row r="52" spans="1:14">
      <c r="M52" s="30"/>
    </row>
    <row r="53" spans="1:14">
      <c r="D53" s="30"/>
    </row>
    <row r="54" spans="1:14" ht="13.5" customHeight="1" thickBot="1">
      <c r="A54" s="39"/>
      <c r="B54" s="39"/>
      <c r="C54" s="13"/>
      <c r="D54" s="13"/>
      <c r="E54" s="13"/>
      <c r="F54" s="34"/>
      <c r="G54" s="13"/>
      <c r="H54" s="13"/>
      <c r="I54" s="13"/>
      <c r="J54" s="13"/>
      <c r="K54" s="13"/>
      <c r="L54" s="13"/>
      <c r="M54" s="13"/>
      <c r="N54" s="13"/>
    </row>
    <row r="55" spans="1:14" ht="15" customHeight="1" thickBot="1">
      <c r="A55" s="2"/>
      <c r="B55" s="1" t="s">
        <v>3</v>
      </c>
      <c r="C55" s="1" t="s">
        <v>4</v>
      </c>
      <c r="D55" s="1" t="s">
        <v>5</v>
      </c>
      <c r="E55" s="1" t="s">
        <v>6</v>
      </c>
      <c r="F55" s="1" t="s">
        <v>7</v>
      </c>
      <c r="G55" s="1" t="s">
        <v>8</v>
      </c>
      <c r="H55" s="1" t="s">
        <v>9</v>
      </c>
      <c r="I55" s="1" t="s">
        <v>10</v>
      </c>
      <c r="J55" s="1" t="s">
        <v>11</v>
      </c>
      <c r="K55" s="1" t="s">
        <v>12</v>
      </c>
      <c r="L55" s="1" t="s">
        <v>13</v>
      </c>
      <c r="M55" s="1" t="s">
        <v>14</v>
      </c>
      <c r="N55" s="1" t="s">
        <v>15</v>
      </c>
    </row>
    <row r="56" spans="1:14" ht="15" customHeight="1" thickBot="1">
      <c r="A56" s="20" t="s">
        <v>59</v>
      </c>
      <c r="B56" s="6">
        <f>Despesas6[[#Totals],[Jan]]</f>
        <v>2966.16</v>
      </c>
      <c r="C56" s="6">
        <f>Despesas6[[#Totals],[Fev]]</f>
        <v>2409.08</v>
      </c>
      <c r="D56" s="6">
        <f>Despesas6[[#Totals],[Mar]]</f>
        <v>2281.27</v>
      </c>
      <c r="E56" s="6">
        <f>Despesas6[[#Totals],[Abr]]</f>
        <v>2626.0699999999997</v>
      </c>
      <c r="F56" s="6">
        <f>Despesas6[[#Totals],[Mai]]</f>
        <v>3143.34</v>
      </c>
      <c r="G56" s="6">
        <f>Despesas6[[#Totals],[Jun]]</f>
        <v>3253.45</v>
      </c>
      <c r="H56" s="6">
        <f>Despesas6[[#Totals],[Jul]]</f>
        <v>3089.69</v>
      </c>
      <c r="I56" s="6">
        <f>Despesas6[[#Totals],[Ago]]</f>
        <v>3129.15</v>
      </c>
      <c r="J56" s="6">
        <f>Despesas6[[#Totals],[Set]]</f>
        <v>3304.12</v>
      </c>
      <c r="K56" s="6">
        <f>Despesas6[[#Totals],[Out]]</f>
        <v>16222.82</v>
      </c>
      <c r="L56" s="6">
        <f>Despesas6[[#Totals],[Nov]]</f>
        <v>3489.4900000000002</v>
      </c>
      <c r="M56" s="6">
        <f>Despesas6[[#Totals],[Dez]]</f>
        <v>26569.5</v>
      </c>
      <c r="N56" s="7">
        <f>SUM(B56:M56)</f>
        <v>72484.139999999985</v>
      </c>
    </row>
    <row r="57" spans="1:14" ht="15" customHeight="1" thickBot="1">
      <c r="A57" s="19" t="s">
        <v>60</v>
      </c>
      <c r="B57" s="8">
        <f>SUM(Renda57[[#Totals],[Jan]]-B56)</f>
        <v>982.84000000000015</v>
      </c>
      <c r="C57" s="8">
        <f>SUM(Renda57[[#Totals],[Fev]]-C56)</f>
        <v>3564.92</v>
      </c>
      <c r="D57" s="8">
        <f>SUM(Renda57[[#Totals],[Mar]]-D56)</f>
        <v>1106.73</v>
      </c>
      <c r="E57" s="8">
        <f>SUM(Renda57[[#Totals],[Abr]]-E56)</f>
        <v>1722.9300000000003</v>
      </c>
      <c r="F57" s="8">
        <f>SUM(Renda57[[#Totals],[Mai]]-F56)</f>
        <v>1347.6599999999999</v>
      </c>
      <c r="G57" s="8">
        <f>SUM(Renda57[[#Totals],[Jun]]-G56)</f>
        <v>4189.55</v>
      </c>
      <c r="H57" s="8">
        <f>SUM(Renda57[[#Totals],[Jul]]-H56)</f>
        <v>4585.3099999999995</v>
      </c>
      <c r="I57" s="8">
        <f>SUM(Renda57[[#Totals],[Ago]]-I56)</f>
        <v>2140.85</v>
      </c>
      <c r="J57" s="8">
        <f>SUM(Renda57[[#Totals],[Set]]-J56)</f>
        <v>1814.88</v>
      </c>
      <c r="K57" s="8">
        <f>SUM(Renda57[[#Totals],[Out]]-K56)</f>
        <v>-2250.8199999999997</v>
      </c>
      <c r="L57" s="8">
        <f>SUM(Renda57[[#Totals],[Nov]]-L56)</f>
        <v>4504.51</v>
      </c>
      <c r="M57" s="8">
        <f>SUM(Renda57[[#Totals],[Dez]]-M56)</f>
        <v>-13552.69</v>
      </c>
      <c r="N57" s="8">
        <f>SUM(B57:M57)</f>
        <v>10156.67</v>
      </c>
    </row>
    <row r="58" spans="1:14" ht="15" customHeight="1" thickBot="1">
      <c r="A58" s="14" t="s">
        <v>61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" customHeight="1" thickBot="1">
      <c r="A59" s="15" t="s">
        <v>1</v>
      </c>
      <c r="B59" s="5" t="s">
        <v>3</v>
      </c>
      <c r="C59" s="4" t="s">
        <v>4</v>
      </c>
      <c r="D59" s="4" t="s">
        <v>5</v>
      </c>
      <c r="E59" s="4" t="s">
        <v>6</v>
      </c>
      <c r="F59" s="4" t="s">
        <v>7</v>
      </c>
      <c r="G59" s="4" t="s">
        <v>8</v>
      </c>
      <c r="H59" s="4" t="s">
        <v>9</v>
      </c>
      <c r="I59" s="4" t="s">
        <v>10</v>
      </c>
      <c r="J59" s="4" t="s">
        <v>11</v>
      </c>
      <c r="K59" s="4" t="s">
        <v>12</v>
      </c>
      <c r="L59" s="4" t="s">
        <v>13</v>
      </c>
      <c r="M59" s="4" t="s">
        <v>14</v>
      </c>
      <c r="N59" s="4" t="s">
        <v>15</v>
      </c>
    </row>
    <row r="60" spans="1:14" ht="15" customHeight="1">
      <c r="A60" s="19" t="s">
        <v>89</v>
      </c>
      <c r="B60" s="8">
        <v>2794</v>
      </c>
      <c r="C60" s="8">
        <v>3128</v>
      </c>
      <c r="D60" s="8">
        <v>2853</v>
      </c>
      <c r="E60" s="8">
        <v>3092</v>
      </c>
      <c r="F60" s="8">
        <v>3254</v>
      </c>
      <c r="G60" s="8">
        <v>3227</v>
      </c>
      <c r="H60" s="8">
        <v>3304</v>
      </c>
      <c r="I60" s="8">
        <v>3858</v>
      </c>
      <c r="J60" s="8">
        <v>3606</v>
      </c>
      <c r="K60" s="8">
        <v>3722</v>
      </c>
      <c r="L60" s="8">
        <v>3842</v>
      </c>
      <c r="M60" s="8">
        <v>3813</v>
      </c>
      <c r="N60" s="9">
        <f>SUM(Renda57[[#This Row],[Jan]:[Dez]])</f>
        <v>40493</v>
      </c>
    </row>
    <row r="61" spans="1:14" ht="15" customHeight="1">
      <c r="A61" s="19" t="s">
        <v>63</v>
      </c>
      <c r="B61" s="8"/>
      <c r="C61" s="8"/>
      <c r="D61" s="8"/>
      <c r="E61" s="8"/>
      <c r="F61" s="8"/>
      <c r="G61" s="8">
        <v>3000</v>
      </c>
      <c r="H61" s="8">
        <v>3000</v>
      </c>
      <c r="I61" s="8"/>
      <c r="J61" s="8"/>
      <c r="K61" s="8">
        <v>1350</v>
      </c>
      <c r="L61" s="8"/>
      <c r="M61" s="8">
        <v>3150</v>
      </c>
      <c r="N61" s="9">
        <f>SUM(Renda57[[#This Row],[Jan]:[Dez]])</f>
        <v>10500</v>
      </c>
    </row>
    <row r="62" spans="1:14" ht="15" customHeight="1">
      <c r="A62" s="19" t="s">
        <v>90</v>
      </c>
      <c r="B62" s="8"/>
      <c r="C62" s="8"/>
      <c r="D62" s="8"/>
      <c r="E62" s="8"/>
      <c r="F62" s="8"/>
      <c r="G62" s="8"/>
      <c r="H62" s="8"/>
      <c r="I62" s="8"/>
      <c r="J62" s="8"/>
      <c r="K62" s="8">
        <v>7000</v>
      </c>
      <c r="L62" s="8"/>
      <c r="M62" s="8">
        <v>4520</v>
      </c>
      <c r="N62" s="9">
        <f>SUM(Renda57[[#This Row],[Jan]:[Dez]])</f>
        <v>11520</v>
      </c>
    </row>
    <row r="63" spans="1:14" ht="15" customHeight="1">
      <c r="A63" s="19" t="s">
        <v>91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>
        <v>2162</v>
      </c>
      <c r="M63" s="8">
        <v>1533.81</v>
      </c>
      <c r="N63" s="9">
        <f>SUM(Renda57[[#This Row],[Jan]:[Dez]])</f>
        <v>3695.81</v>
      </c>
    </row>
    <row r="64" spans="1:14" ht="15" customHeight="1">
      <c r="A64" s="19" t="s">
        <v>92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9">
        <f>SUM(Renda57[[#This Row],[Jan]:[Dez]])</f>
        <v>0</v>
      </c>
    </row>
    <row r="65" spans="1:23" ht="15" customHeight="1">
      <c r="A65" s="19" t="s">
        <v>57</v>
      </c>
      <c r="B65" s="8">
        <v>1155</v>
      </c>
      <c r="C65" s="33">
        <f>1210+1636</f>
        <v>2846</v>
      </c>
      <c r="D65" s="8">
        <v>535</v>
      </c>
      <c r="E65" s="8">
        <v>1257</v>
      </c>
      <c r="F65" s="8">
        <v>1237</v>
      </c>
      <c r="G65" s="8">
        <v>1216</v>
      </c>
      <c r="H65" s="8">
        <v>1371</v>
      </c>
      <c r="I65" s="8">
        <v>1412</v>
      </c>
      <c r="J65" s="8">
        <v>1513</v>
      </c>
      <c r="K65" s="8">
        <v>1900</v>
      </c>
      <c r="L65" s="8">
        <v>1990</v>
      </c>
      <c r="M65" s="8"/>
      <c r="N65" s="9">
        <f>SUM(Renda57[[#This Row],[Jan]:[Dez]])</f>
        <v>16432</v>
      </c>
    </row>
    <row r="66" spans="1:23" ht="15" customHeight="1">
      <c r="A66" s="19" t="s">
        <v>58</v>
      </c>
      <c r="B66" s="10">
        <f>SUBTOTAL(109,Renda57[Jan])</f>
        <v>3949</v>
      </c>
      <c r="C66" s="10">
        <f>SUBTOTAL(109,Renda57[Fev])</f>
        <v>5974</v>
      </c>
      <c r="D66" s="10">
        <f>SUBTOTAL(109,Renda57[Mar])</f>
        <v>3388</v>
      </c>
      <c r="E66" s="10">
        <f>SUBTOTAL(109,Renda57[Abr])</f>
        <v>4349</v>
      </c>
      <c r="F66" s="10">
        <f>SUBTOTAL(109,Renda57[Mai])</f>
        <v>4491</v>
      </c>
      <c r="G66" s="10">
        <f>SUBTOTAL(109,Renda57[Jun])</f>
        <v>7443</v>
      </c>
      <c r="H66" s="10">
        <f>SUBTOTAL(109,Renda57[Jul])</f>
        <v>7675</v>
      </c>
      <c r="I66" s="10">
        <f>SUBTOTAL(109,Renda57[Ago])</f>
        <v>5270</v>
      </c>
      <c r="J66" s="10">
        <f>SUBTOTAL(109,Renda57[Set])</f>
        <v>5119</v>
      </c>
      <c r="K66" s="10">
        <f>SUBTOTAL(109,Renda57[Out])</f>
        <v>13972</v>
      </c>
      <c r="L66" s="10">
        <f>SUBTOTAL(109,Renda57[Nov])</f>
        <v>7994</v>
      </c>
      <c r="M66" s="10">
        <f>SUBTOTAL(109,Renda57[Dez])</f>
        <v>13016.81</v>
      </c>
      <c r="N66" s="11">
        <f>SUBTOTAL(109,Renda57[Ano])</f>
        <v>82640.81</v>
      </c>
      <c r="Q66" s="30"/>
    </row>
    <row r="68" spans="1:23">
      <c r="A68" s="40" t="s">
        <v>93</v>
      </c>
      <c r="B68" s="40"/>
      <c r="E68" s="40" t="s">
        <v>94</v>
      </c>
      <c r="F68" s="40"/>
    </row>
    <row r="69" spans="1:23">
      <c r="I69" s="30"/>
    </row>
    <row r="70" spans="1:23" ht="30">
      <c r="A70" s="19" t="s">
        <v>95</v>
      </c>
      <c r="B70" s="36">
        <v>13831.78</v>
      </c>
      <c r="E70" s="19" t="s">
        <v>95</v>
      </c>
    </row>
    <row r="71" spans="1:23">
      <c r="A71" s="19" t="s">
        <v>96</v>
      </c>
      <c r="B71" s="36">
        <v>6374.43</v>
      </c>
    </row>
    <row r="72" spans="1:23">
      <c r="A72" s="19" t="s">
        <v>97</v>
      </c>
      <c r="B72" s="36">
        <v>3883.69</v>
      </c>
    </row>
    <row r="73" spans="1:23">
      <c r="A73" s="19" t="s">
        <v>98</v>
      </c>
      <c r="B73" s="36">
        <v>432.66</v>
      </c>
      <c r="H73" s="12"/>
    </row>
    <row r="74" spans="1:23">
      <c r="A74" s="19" t="s">
        <v>99</v>
      </c>
      <c r="B74" s="36">
        <v>60.66</v>
      </c>
    </row>
    <row r="75" spans="1:23">
      <c r="A75" s="19" t="s">
        <v>100</v>
      </c>
      <c r="B75" s="36">
        <v>101.02</v>
      </c>
      <c r="K75" s="12"/>
    </row>
    <row r="76" spans="1:23">
      <c r="B76" s="36"/>
      <c r="H76" s="12"/>
      <c r="K76" s="30"/>
      <c r="W76">
        <v>4755</v>
      </c>
    </row>
    <row r="77" spans="1:23">
      <c r="B77" s="36"/>
    </row>
    <row r="78" spans="1:23">
      <c r="B78" s="36"/>
    </row>
    <row r="79" spans="1:23">
      <c r="B79" s="36"/>
    </row>
    <row r="80" spans="1:23">
      <c r="A80" s="19" t="s">
        <v>58</v>
      </c>
      <c r="B80" s="36">
        <f>B70+B71+B72+B73+B74+B75</f>
        <v>24684.239999999998</v>
      </c>
    </row>
    <row r="83" spans="5:5">
      <c r="E83" s="30"/>
    </row>
  </sheetData>
  <mergeCells count="3">
    <mergeCell ref="A54:B54"/>
    <mergeCell ref="A68:B68"/>
    <mergeCell ref="E68:F68"/>
  </mergeCells>
  <conditionalFormatting sqref="B57:M57">
    <cfRule type="iconSet" priority="2">
      <iconSet iconSet="3Arrows">
        <cfvo type="percentile" val="0"/>
        <cfvo type="num" val="0"/>
        <cfvo type="num" val="1"/>
      </iconSet>
    </cfRule>
  </conditionalFormatting>
  <conditionalFormatting sqref="N57">
    <cfRule type="iconSet" priority="1">
      <iconSet iconSet="3Arrows">
        <cfvo type="percentile" val="0"/>
        <cfvo type="num" val="0"/>
        <cfvo type="num" val="1"/>
      </iconSet>
    </cfRule>
  </conditionalFormatting>
  <dataValidations count="14">
    <dataValidation allowBlank="1" showInputMessage="1" showErrorMessage="1" prompt="Os meses estão nas células à direita. As Despesas totais e a Falta ou excedente de dinheiro são calculados automaticamente nas células C3 a O4 abaixo" sqref="A55" xr:uid="{24878B3C-7404-4F13-8144-F773A25BBFCD}"/>
    <dataValidation allowBlank="1" showInputMessage="1" showErrorMessage="1" prompt="As despesas totais são calculadas automaticamente nas células à direita" sqref="A56" xr:uid="{965201D7-097A-461A-9730-FEAFB66C8A05}"/>
    <dataValidation allowBlank="1" showInputMessage="1" showErrorMessage="1" prompt="A falta ou o excedente de dinheiro são calculados automaticamente nas células à direita com a respectiva atualização dos ícones" sqref="A57" xr:uid="{3FE947C7-5C21-4BA5-958F-F1B00AEB7182}"/>
    <dataValidation allowBlank="1" showInputMessage="1" showErrorMessage="1" prompt="Insira os Detalhes da renda na tabela abaixo" sqref="A58" xr:uid="{6544122E-53CE-4607-A931-C7012944ED3C}"/>
    <dataValidation allowBlank="1" showInputMessage="1" showErrorMessage="1" prompt="Insira a Categoria na coluna sob este cabeçalho. Use os filtros de cabeçalho para localizar itens específicos." sqref="A59" xr:uid="{7A5EAF0B-2EDD-47D8-8F3F-3C15E181E0D0}"/>
    <dataValidation allowBlank="1" showInputMessage="1" showErrorMessage="1" prompt="As Rendas anuais são calculadas automaticamente na coluna sob este cabeçalho" sqref="N59" xr:uid="{71588980-79B6-4CFA-BE69-28E8AA370645}"/>
    <dataValidation allowBlank="1" showInputMessage="1" showErrorMessage="1" prompt="Insira a renda deste mês na coluna sob este cabeçalho" sqref="B59:M59" xr:uid="{B7F0226F-3527-4306-9CB1-1F167C58D807}"/>
    <dataValidation errorStyle="warning" allowBlank="1" showInputMessage="1" showErrorMessage="1" error="Selecione a Categoria na lista. Selecione CANCELAR, pressione Alt+Seta para baixo para ver as opções e depois Seta para baixo e Enter para fazer a seleção" sqref="A3:B46" xr:uid="{9262B53C-0BFE-40A9-98FF-8103752E8F06}"/>
    <dataValidation allowBlank="1" showInputMessage="1" showErrorMessage="1" prompt="Selecione a Categoria na coluna sob este cabeçalho. Pressione Alt+Seta para baixo para abrir a lista suspensa e depois Enter para fazer a seleção" sqref="A2" xr:uid="{6014F13B-B13E-42F6-BC8D-851BA35A31A1}"/>
    <dataValidation allowBlank="1" showInputMessage="1" showErrorMessage="1" prompt="As despesas anuais são calculadas automaticamente na coluna sob este cabeçalho" sqref="O2" xr:uid="{B9BA2353-7854-491D-B2FD-8948086529A7}"/>
    <dataValidation allowBlank="1" showInputMessage="1" showErrorMessage="1" prompt="Insira as despesas deste mês na coluna sob este cabeçalho" sqref="C2:N2" xr:uid="{066534F2-B77B-4242-B110-F4932C87279E}"/>
    <dataValidation allowBlank="1" showInputMessage="1" showErrorMessage="1" prompt="Insira a Subcategoria na coluna sob este cabeçalho" sqref="B2" xr:uid="{EA58CBF4-409E-4BCA-9EB0-74C0F0C9ADF7}"/>
    <dataValidation allowBlank="1" showInputMessage="1" showErrorMessage="1" prompt="Insira as despesas na tabela abaixo" sqref="A1" xr:uid="{22B55E8E-0995-4580-AAA5-2DAA88A100B3}"/>
    <dataValidation allowBlank="1" showInputMessage="1" showErrorMessage="1" prompt="O título desta planilha está nesta célula." sqref="A54:B54" xr:uid="{3E2DA595-6100-4292-8E38-E37DFEDB77B7}"/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B8A-5881-4166-AED8-06F27C1D2F13}">
  <sheetPr>
    <tabColor rgb="FF44546A"/>
  </sheetPr>
  <dimension ref="A1:AB83"/>
  <sheetViews>
    <sheetView tabSelected="1" workbookViewId="0">
      <pane xSplit="14" ySplit="2" topLeftCell="O3" activePane="bottomRight" state="frozen"/>
      <selection pane="topRight"/>
      <selection pane="bottomLeft"/>
      <selection pane="bottomRight" activeCell="C4" sqref="C4"/>
    </sheetView>
  </sheetViews>
  <sheetFormatPr defaultRowHeight="15"/>
  <cols>
    <col min="1" max="1" width="19.28515625" style="19" customWidth="1"/>
    <col min="2" max="2" width="12.85546875" customWidth="1"/>
    <col min="3" max="14" width="12.5703125" customWidth="1"/>
    <col min="15" max="15" width="17.5703125" customWidth="1"/>
    <col min="16" max="16" width="2.7109375" customWidth="1"/>
  </cols>
  <sheetData>
    <row r="1" spans="1:23" ht="30" customHeight="1">
      <c r="A1" s="14" t="s">
        <v>0</v>
      </c>
      <c r="B1" s="27">
        <v>2022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3" ht="30" customHeight="1">
      <c r="A2" s="15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23" ht="15" customHeight="1">
      <c r="A3" s="18" t="s">
        <v>86</v>
      </c>
      <c r="B3" s="19" t="s">
        <v>87</v>
      </c>
      <c r="C3" s="25">
        <v>1520.53</v>
      </c>
      <c r="D3" s="25">
        <f>1612</f>
        <v>1612</v>
      </c>
      <c r="E3" s="25">
        <v>1651</v>
      </c>
      <c r="F3" s="25">
        <f>1607+18</f>
        <v>1625</v>
      </c>
      <c r="G3" s="25">
        <v>1606.04</v>
      </c>
      <c r="H3" s="26">
        <v>1602</v>
      </c>
      <c r="I3" s="26">
        <v>1598</v>
      </c>
      <c r="J3" s="26">
        <v>1594</v>
      </c>
      <c r="K3" s="26">
        <v>1590</v>
      </c>
      <c r="L3" s="26">
        <v>1586</v>
      </c>
      <c r="M3" s="26">
        <v>1582</v>
      </c>
      <c r="N3" s="26">
        <v>1578</v>
      </c>
      <c r="O3" s="22">
        <f>SUM('2022_Despesa'!$C3:$N3)</f>
        <v>19144.57</v>
      </c>
    </row>
    <row r="4" spans="1:23" ht="15" customHeight="1">
      <c r="A4" s="17" t="s">
        <v>18</v>
      </c>
      <c r="B4" s="19" t="s">
        <v>19</v>
      </c>
      <c r="C4" s="25">
        <f>136.79</f>
        <v>136.79</v>
      </c>
      <c r="D4" s="25">
        <v>136.79</v>
      </c>
      <c r="E4" s="25">
        <v>137.13999999999999</v>
      </c>
      <c r="F4" s="25">
        <v>140.16</v>
      </c>
      <c r="G4" s="25">
        <v>141.93</v>
      </c>
      <c r="H4" s="26">
        <v>140</v>
      </c>
      <c r="I4" s="26">
        <v>140</v>
      </c>
      <c r="J4" s="26">
        <v>140</v>
      </c>
      <c r="K4" s="26">
        <v>140</v>
      </c>
      <c r="L4" s="26">
        <v>140</v>
      </c>
      <c r="M4" s="26">
        <v>140</v>
      </c>
      <c r="N4" s="26">
        <v>140</v>
      </c>
      <c r="O4" s="22">
        <f>SUM('2022_Despesa'!$C4:$N4)</f>
        <v>1672.81</v>
      </c>
    </row>
    <row r="5" spans="1:23" ht="15" customHeight="1">
      <c r="A5" s="18" t="s">
        <v>101</v>
      </c>
      <c r="B5" s="19" t="s">
        <v>31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2">
        <f>SUM('2022_Despesa'!$C5:$N5)</f>
        <v>0</v>
      </c>
    </row>
    <row r="6" spans="1:23" ht="15" customHeight="1">
      <c r="A6" s="17" t="s">
        <v>22</v>
      </c>
      <c r="B6" s="19" t="s">
        <v>23</v>
      </c>
      <c r="C6" s="25">
        <v>654.91</v>
      </c>
      <c r="D6" s="25">
        <v>654.91</v>
      </c>
      <c r="E6" s="25">
        <v>654.91</v>
      </c>
      <c r="F6" s="25">
        <v>654.91</v>
      </c>
      <c r="G6" s="25">
        <v>654.91</v>
      </c>
      <c r="H6" s="26">
        <v>654.91</v>
      </c>
      <c r="I6" s="26">
        <v>654.91</v>
      </c>
      <c r="J6" s="26">
        <v>654.91</v>
      </c>
      <c r="K6" s="26">
        <v>654.91</v>
      </c>
      <c r="L6" s="26">
        <v>654.91</v>
      </c>
      <c r="M6" s="26">
        <v>654.91</v>
      </c>
      <c r="N6" s="26">
        <v>654.91</v>
      </c>
      <c r="O6" s="22">
        <f>SUM('2022_Despesa'!$C6:$N6)</f>
        <v>7858.9199999999992</v>
      </c>
    </row>
    <row r="7" spans="1:23" ht="15" customHeight="1">
      <c r="A7" s="18" t="s">
        <v>24</v>
      </c>
      <c r="B7" s="19" t="s">
        <v>102</v>
      </c>
      <c r="C7" s="21"/>
      <c r="D7" s="21"/>
      <c r="E7" s="21"/>
      <c r="F7" s="26"/>
      <c r="G7" s="25">
        <v>142.69</v>
      </c>
      <c r="H7" s="21"/>
      <c r="I7" s="21"/>
      <c r="J7" s="21"/>
      <c r="K7" s="21"/>
      <c r="L7" s="21"/>
      <c r="M7" s="21"/>
      <c r="N7" s="21"/>
      <c r="O7" s="22">
        <f>SUM('2022_Despesa'!$C7:$N7)</f>
        <v>142.69</v>
      </c>
    </row>
    <row r="8" spans="1:23" ht="15" customHeight="1">
      <c r="A8" s="17" t="s">
        <v>26</v>
      </c>
      <c r="B8" s="19" t="s">
        <v>27</v>
      </c>
      <c r="C8" s="25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>
        <f>SUM('2022_Despesa'!$C8:$N8)</f>
        <v>0</v>
      </c>
      <c r="W8" s="30"/>
    </row>
    <row r="9" spans="1:23" ht="15" customHeight="1">
      <c r="A9" s="18" t="s">
        <v>28</v>
      </c>
      <c r="B9" s="19" t="s">
        <v>29</v>
      </c>
      <c r="C9" s="23"/>
      <c r="D9" s="25">
        <v>157.66999999999999</v>
      </c>
      <c r="E9" s="25">
        <v>157.66999999999999</v>
      </c>
      <c r="F9" s="25">
        <v>158.13</v>
      </c>
      <c r="G9" s="32"/>
      <c r="H9" s="32"/>
      <c r="I9" s="32"/>
      <c r="J9" s="32"/>
      <c r="K9" s="23"/>
      <c r="L9" s="23"/>
      <c r="M9" s="23"/>
      <c r="N9" s="23"/>
      <c r="O9" s="22">
        <f>SUM('2022_Despesa'!$C9:$N9)</f>
        <v>473.46999999999997</v>
      </c>
    </row>
    <row r="10" spans="1:23" ht="15" customHeight="1">
      <c r="A10" s="17" t="s">
        <v>30</v>
      </c>
      <c r="B10" s="19" t="s">
        <v>31</v>
      </c>
      <c r="C10" s="25"/>
      <c r="D10" s="25"/>
      <c r="E10" s="25"/>
      <c r="F10" s="25"/>
      <c r="G10" s="25"/>
      <c r="H10" s="25"/>
      <c r="I10" s="31"/>
      <c r="J10" s="25"/>
      <c r="K10" s="25"/>
      <c r="L10" s="25"/>
      <c r="M10" s="25"/>
      <c r="N10" s="25"/>
      <c r="O10" s="22">
        <f>SUM('2022_Despesa'!$C10:$N10)</f>
        <v>0</v>
      </c>
    </row>
    <row r="11" spans="1:23" ht="15" customHeight="1">
      <c r="A11" s="18" t="s">
        <v>32</v>
      </c>
      <c r="B11" s="19" t="s">
        <v>31</v>
      </c>
      <c r="C11" s="25"/>
      <c r="D11" s="25"/>
      <c r="E11" s="25"/>
      <c r="F11" s="25"/>
      <c r="G11" s="25">
        <f>225</f>
        <v>225</v>
      </c>
      <c r="H11" s="32"/>
      <c r="I11" s="23"/>
      <c r="J11" s="25"/>
      <c r="K11" s="25"/>
      <c r="L11" s="23"/>
      <c r="M11" s="23"/>
      <c r="N11" s="23"/>
      <c r="O11" s="22">
        <f>SUM('2022_Despesa'!$C11:$N11)</f>
        <v>225</v>
      </c>
    </row>
    <row r="12" spans="1:23" ht="15" customHeight="1">
      <c r="A12" s="17" t="s">
        <v>34</v>
      </c>
      <c r="B12" s="19" t="s">
        <v>31</v>
      </c>
      <c r="C12" s="25">
        <f>100+100+100+100+100</f>
        <v>500</v>
      </c>
      <c r="D12" s="25">
        <f>102.5+100+100+100+100</f>
        <v>502.5</v>
      </c>
      <c r="E12" s="25">
        <f>100+100+100+100+100+100+100</f>
        <v>700</v>
      </c>
      <c r="F12" s="25">
        <f>100+100+100+100+100</f>
        <v>500</v>
      </c>
      <c r="G12" s="25">
        <f>100+100+100+100</f>
        <v>400</v>
      </c>
      <c r="H12" s="25">
        <f>100+100</f>
        <v>200</v>
      </c>
      <c r="I12" s="26">
        <v>400</v>
      </c>
      <c r="J12" s="26">
        <v>400</v>
      </c>
      <c r="K12" s="26">
        <v>400</v>
      </c>
      <c r="L12" s="26">
        <v>400</v>
      </c>
      <c r="M12" s="26">
        <v>400</v>
      </c>
      <c r="N12" s="26">
        <v>400</v>
      </c>
      <c r="O12" s="22">
        <f>SUM('2022_Despesa'!$C12:$N12)</f>
        <v>5202.5</v>
      </c>
    </row>
    <row r="13" spans="1:23" ht="15" customHeight="1">
      <c r="A13" s="18" t="s">
        <v>35</v>
      </c>
      <c r="B13" s="19" t="s">
        <v>31</v>
      </c>
      <c r="C13" s="25">
        <f>40</f>
        <v>40</v>
      </c>
      <c r="D13" s="25"/>
      <c r="E13" s="25"/>
      <c r="F13" s="25">
        <f>40</f>
        <v>40</v>
      </c>
      <c r="G13" s="25">
        <f>40</f>
        <v>40</v>
      </c>
      <c r="H13" s="25"/>
      <c r="I13" s="25"/>
      <c r="J13" s="25"/>
      <c r="K13" s="25"/>
      <c r="L13" s="23"/>
      <c r="M13" s="23"/>
      <c r="N13" s="23"/>
      <c r="O13" s="22">
        <f>SUM('2022_Despesa'!$C13:$N13)</f>
        <v>120</v>
      </c>
    </row>
    <row r="14" spans="1:23" ht="15" customHeight="1">
      <c r="A14" s="17" t="s">
        <v>36</v>
      </c>
      <c r="B14" s="19" t="s">
        <v>37</v>
      </c>
      <c r="C14" s="25">
        <v>51</v>
      </c>
      <c r="D14" s="25">
        <v>54.99</v>
      </c>
      <c r="E14" s="25">
        <v>56.13</v>
      </c>
      <c r="F14" s="25">
        <v>86</v>
      </c>
      <c r="G14" s="25">
        <v>55</v>
      </c>
      <c r="H14" s="26">
        <v>51</v>
      </c>
      <c r="I14" s="26">
        <v>51</v>
      </c>
      <c r="J14" s="26">
        <v>51</v>
      </c>
      <c r="K14" s="26">
        <v>51</v>
      </c>
      <c r="L14" s="26">
        <v>51</v>
      </c>
      <c r="M14" s="26">
        <v>51</v>
      </c>
      <c r="N14" s="26">
        <v>51</v>
      </c>
      <c r="O14" s="22">
        <f>SUM('2022_Despesa'!$C14:$N14)</f>
        <v>660.12</v>
      </c>
    </row>
    <row r="15" spans="1:23" ht="15" customHeight="1">
      <c r="A15" s="18" t="s">
        <v>38</v>
      </c>
      <c r="B15" s="19" t="s">
        <v>103</v>
      </c>
      <c r="C15" s="25">
        <f>41</f>
        <v>41</v>
      </c>
      <c r="D15" s="25">
        <f>33.52+28.48+26.24</f>
        <v>88.24</v>
      </c>
      <c r="E15" s="25">
        <f>40+28</f>
        <v>68</v>
      </c>
      <c r="F15" s="25">
        <f>54.5</f>
        <v>54.5</v>
      </c>
      <c r="G15" s="25">
        <v>73.900000000000006</v>
      </c>
      <c r="H15" s="25">
        <f>58.39</f>
        <v>58.39</v>
      </c>
      <c r="I15" s="25"/>
      <c r="J15" s="25"/>
      <c r="K15" s="25"/>
      <c r="L15" s="25"/>
      <c r="M15" s="25"/>
      <c r="N15" s="25"/>
      <c r="O15" s="22">
        <f>SUM('2022_Despesa'!$C15:$N15)</f>
        <v>384.03</v>
      </c>
      <c r="T15" s="30"/>
    </row>
    <row r="16" spans="1:23" ht="15" customHeight="1">
      <c r="A16" s="17" t="s">
        <v>40</v>
      </c>
      <c r="B16" s="19" t="s">
        <v>41</v>
      </c>
      <c r="C16" s="25">
        <f>231</f>
        <v>231</v>
      </c>
      <c r="D16" s="25">
        <f>217</f>
        <v>217</v>
      </c>
      <c r="E16" s="25">
        <f>560.85/2</f>
        <v>280.42500000000001</v>
      </c>
      <c r="F16" s="25">
        <f>266</f>
        <v>266</v>
      </c>
      <c r="G16" s="25"/>
      <c r="H16" s="25"/>
      <c r="I16" s="25"/>
      <c r="J16" s="25"/>
      <c r="K16" s="25"/>
      <c r="L16" s="25"/>
      <c r="M16" s="25"/>
      <c r="N16" s="25"/>
      <c r="O16" s="22">
        <f>SUM('2022_Despesa'!$C16:$N16)</f>
        <v>994.42499999999995</v>
      </c>
    </row>
    <row r="17" spans="1:28" ht="15" customHeight="1">
      <c r="A17" s="18" t="s">
        <v>42</v>
      </c>
      <c r="B17" s="19" t="s">
        <v>39</v>
      </c>
      <c r="C17" s="25">
        <v>200</v>
      </c>
      <c r="D17" s="25">
        <f>79+120</f>
        <v>199</v>
      </c>
      <c r="E17" s="25">
        <v>200</v>
      </c>
      <c r="F17" s="25">
        <v>200</v>
      </c>
      <c r="G17" s="25">
        <v>200</v>
      </c>
      <c r="H17" s="26">
        <v>200</v>
      </c>
      <c r="I17" s="26">
        <v>200</v>
      </c>
      <c r="J17" s="26">
        <v>200</v>
      </c>
      <c r="K17" s="26">
        <v>200</v>
      </c>
      <c r="L17" s="26">
        <v>200</v>
      </c>
      <c r="M17" s="26">
        <v>200</v>
      </c>
      <c r="N17" s="26">
        <v>200</v>
      </c>
      <c r="O17" s="22">
        <f>SUM('2022_Despesa'!$C17:$N17)</f>
        <v>2399</v>
      </c>
      <c r="AB17" s="30"/>
    </row>
    <row r="18" spans="1:28" ht="15" customHeight="1">
      <c r="A18" s="17" t="s">
        <v>43</v>
      </c>
      <c r="B18" s="19" t="s">
        <v>31</v>
      </c>
      <c r="C18" s="25"/>
      <c r="D18" s="25">
        <f>112.57</f>
        <v>112.57</v>
      </c>
      <c r="E18" s="21"/>
      <c r="F18" s="25"/>
      <c r="G18" s="25"/>
      <c r="H18" s="25"/>
      <c r="I18" s="25"/>
      <c r="J18" s="25"/>
      <c r="K18" s="21"/>
      <c r="L18" s="21"/>
      <c r="M18" s="21"/>
      <c r="N18" s="21"/>
      <c r="O18" s="22">
        <f>SUM('2022_Despesa'!$C18:$N18)</f>
        <v>112.57</v>
      </c>
      <c r="S18" s="30"/>
      <c r="V18" s="30"/>
    </row>
    <row r="19" spans="1:28" ht="15" customHeight="1">
      <c r="A19" s="19" t="s">
        <v>31</v>
      </c>
      <c r="B19" s="19" t="s">
        <v>31</v>
      </c>
      <c r="C19" s="25"/>
      <c r="D19" s="25"/>
      <c r="E19" s="25"/>
      <c r="F19" s="25"/>
      <c r="G19" s="31"/>
      <c r="H19" s="31"/>
      <c r="I19" s="31"/>
      <c r="J19" s="25"/>
      <c r="K19" s="25"/>
      <c r="L19" s="25"/>
      <c r="M19" s="25"/>
      <c r="N19" s="25"/>
      <c r="O19" s="22">
        <f>SUM('2022_Despesa'!$C19:$N19)</f>
        <v>0</v>
      </c>
      <c r="R19" s="30"/>
    </row>
    <row r="20" spans="1:28" ht="15" customHeight="1">
      <c r="A20" s="17" t="s">
        <v>46</v>
      </c>
      <c r="B20" s="19" t="s">
        <v>104</v>
      </c>
      <c r="C20" s="25">
        <f>315</f>
        <v>315</v>
      </c>
      <c r="D20" s="25">
        <v>309.08999999999997</v>
      </c>
      <c r="E20" s="25">
        <v>253.52</v>
      </c>
      <c r="F20" s="25">
        <v>363.22</v>
      </c>
      <c r="G20" s="25">
        <v>385.28</v>
      </c>
      <c r="H20" s="26">
        <v>308.43</v>
      </c>
      <c r="I20" s="26">
        <v>308.43</v>
      </c>
      <c r="J20" s="26">
        <v>278.52</v>
      </c>
      <c r="K20" s="26">
        <v>278.52</v>
      </c>
      <c r="L20" s="26">
        <v>142.57</v>
      </c>
      <c r="M20" s="26">
        <v>142.57</v>
      </c>
      <c r="N20" s="26">
        <v>110.92</v>
      </c>
      <c r="O20" s="22">
        <f>SUM('2022_Despesa'!$C20:$N20)</f>
        <v>3196.07</v>
      </c>
    </row>
    <row r="21" spans="1:28" ht="15" customHeight="1">
      <c r="A21" s="19" t="s">
        <v>47</v>
      </c>
      <c r="B21" s="19" t="s">
        <v>23</v>
      </c>
      <c r="C21" s="25">
        <f>144.96</f>
        <v>144.96</v>
      </c>
      <c r="D21" s="25">
        <f>32.55</f>
        <v>32.549999999999997</v>
      </c>
      <c r="E21" s="25">
        <f>29.99</f>
        <v>29.99</v>
      </c>
      <c r="F21" s="25">
        <f>29.99</f>
        <v>29.99</v>
      </c>
      <c r="G21" s="25">
        <v>29.99</v>
      </c>
      <c r="H21" s="26">
        <v>29.99</v>
      </c>
      <c r="I21" s="26">
        <v>29.99</v>
      </c>
      <c r="J21" s="26">
        <v>29.99</v>
      </c>
      <c r="K21" s="26">
        <v>29.99</v>
      </c>
      <c r="L21" s="25"/>
      <c r="M21" s="25"/>
      <c r="N21" s="25"/>
      <c r="O21" s="22">
        <f>SUM('2022_Despesa'!$C21:$N21)</f>
        <v>387.44000000000005</v>
      </c>
    </row>
    <row r="22" spans="1:28" ht="15" customHeight="1">
      <c r="A22" s="17" t="s">
        <v>65</v>
      </c>
      <c r="B22" s="19" t="s">
        <v>31</v>
      </c>
      <c r="C22" s="25"/>
      <c r="D22" s="25"/>
      <c r="E22" s="25"/>
      <c r="F22" s="25">
        <f>119</f>
        <v>119</v>
      </c>
      <c r="G22" s="23"/>
      <c r="H22" s="23"/>
      <c r="I22" s="23"/>
      <c r="J22" s="23"/>
      <c r="K22" s="23"/>
      <c r="L22" s="23"/>
      <c r="M22" s="23"/>
      <c r="N22" s="23"/>
      <c r="O22" s="22">
        <f>SUM('2022_Despesa'!$C22:$N22)</f>
        <v>119</v>
      </c>
    </row>
    <row r="23" spans="1:28" ht="15" customHeight="1">
      <c r="A23" s="19" t="s">
        <v>66</v>
      </c>
      <c r="B23" s="19" t="s">
        <v>31</v>
      </c>
      <c r="C23" s="25">
        <f>36</f>
        <v>36</v>
      </c>
      <c r="D23" s="25"/>
      <c r="E23" s="25">
        <f>36</f>
        <v>36</v>
      </c>
      <c r="F23" s="25">
        <f>36</f>
        <v>36</v>
      </c>
      <c r="G23" s="25"/>
      <c r="H23" s="25"/>
      <c r="I23" s="25"/>
      <c r="J23" s="25"/>
      <c r="K23" s="23"/>
      <c r="L23" s="23"/>
      <c r="M23" s="23"/>
      <c r="N23" s="23"/>
      <c r="O23" s="22">
        <f>SUM('2022_Despesa'!$C23:$N23)</f>
        <v>108</v>
      </c>
    </row>
    <row r="24" spans="1:28" ht="15" customHeight="1">
      <c r="A24" s="17" t="s">
        <v>50</v>
      </c>
      <c r="B24" s="19" t="s">
        <v>31</v>
      </c>
      <c r="C24" s="23"/>
      <c r="D24" s="23"/>
      <c r="E24" s="23"/>
      <c r="F24" s="32"/>
      <c r="G24" s="32"/>
      <c r="H24" s="32"/>
      <c r="I24" s="23"/>
      <c r="J24" s="23"/>
      <c r="K24" s="25"/>
      <c r="L24" s="23"/>
      <c r="M24" s="26"/>
      <c r="N24" s="23"/>
      <c r="O24" s="22">
        <f>SUM('2022_Despesa'!$C24:$N24)</f>
        <v>0</v>
      </c>
    </row>
    <row r="25" spans="1:28" ht="15" customHeight="1">
      <c r="A25" s="19" t="s">
        <v>105</v>
      </c>
      <c r="B25" s="19" t="s">
        <v>31</v>
      </c>
      <c r="C25" s="25">
        <f>57.5+36.5+25.8</f>
        <v>119.8</v>
      </c>
      <c r="D25" s="25">
        <f>53.78+33.8</f>
        <v>87.58</v>
      </c>
      <c r="E25" s="25">
        <f>45.05+43.82+9.95+82.58+57.9+42+19.19+44.9</f>
        <v>345.39</v>
      </c>
      <c r="F25" s="25">
        <f>26.8+28+8.6+53.8+19+43.5+40</f>
        <v>219.7</v>
      </c>
      <c r="G25" s="25">
        <f>13.39+12.9</f>
        <v>26.29</v>
      </c>
      <c r="H25" s="25">
        <f>51.8</f>
        <v>51.8</v>
      </c>
      <c r="I25" s="25"/>
      <c r="J25" s="23"/>
      <c r="K25" s="23"/>
      <c r="L25" s="25"/>
      <c r="M25" s="25"/>
      <c r="N25" s="25"/>
      <c r="O25" s="22">
        <f>SUM('2022_Despesa'!$C25:$N25)</f>
        <v>850.56</v>
      </c>
    </row>
    <row r="26" spans="1:28" ht="15" customHeight="1">
      <c r="A26" s="17" t="s">
        <v>106</v>
      </c>
      <c r="B26" s="19" t="s">
        <v>19</v>
      </c>
      <c r="C26" s="25">
        <v>20</v>
      </c>
      <c r="D26" s="25">
        <v>39</v>
      </c>
      <c r="E26" s="25">
        <v>20</v>
      </c>
      <c r="F26" s="25">
        <f>26+36.18</f>
        <v>62.18</v>
      </c>
      <c r="G26" s="25">
        <v>39</v>
      </c>
      <c r="H26" s="25">
        <v>39</v>
      </c>
      <c r="I26" s="26">
        <v>39</v>
      </c>
      <c r="J26" s="26">
        <v>39</v>
      </c>
      <c r="K26" s="26">
        <v>39</v>
      </c>
      <c r="L26" s="26">
        <v>39</v>
      </c>
      <c r="M26" s="26">
        <v>39</v>
      </c>
      <c r="N26" s="26">
        <v>39</v>
      </c>
      <c r="O26" s="22">
        <f>SUM('2022_Despesa'!$C26:$N26)</f>
        <v>453.18</v>
      </c>
    </row>
    <row r="27" spans="1:28" ht="15" customHeight="1">
      <c r="A27" s="19" t="s">
        <v>54</v>
      </c>
      <c r="B27" s="19" t="s">
        <v>31</v>
      </c>
      <c r="C27" s="25">
        <f>49+22.58+8.07+46.48+19.56</f>
        <v>145.69</v>
      </c>
      <c r="D27" s="25">
        <f>17+61.6+20.9+49.74+11.53</f>
        <v>160.77000000000001</v>
      </c>
      <c r="E27" s="25">
        <f>9.99+24.8+46.71+16.89</f>
        <v>98.39</v>
      </c>
      <c r="F27" s="25">
        <f>26.51</f>
        <v>26.51</v>
      </c>
      <c r="G27" s="25">
        <f>15.6+41.37</f>
        <v>56.97</v>
      </c>
      <c r="H27" s="25">
        <f>26.33+30.27+12.91</f>
        <v>69.509999999999991</v>
      </c>
      <c r="I27" s="25"/>
      <c r="J27" s="23"/>
      <c r="K27" s="23"/>
      <c r="L27" s="23"/>
      <c r="M27" s="23"/>
      <c r="N27" s="23"/>
      <c r="O27" s="22">
        <f>SUM('2022_Despesa'!$C27:$N27)</f>
        <v>557.84</v>
      </c>
    </row>
    <row r="28" spans="1:28" ht="15" customHeight="1">
      <c r="A28" s="17" t="s">
        <v>69</v>
      </c>
      <c r="B28" s="19" t="s">
        <v>31</v>
      </c>
      <c r="C28" s="23"/>
      <c r="D28" s="25">
        <f>29.9</f>
        <v>29.9</v>
      </c>
      <c r="E28" s="25">
        <f>99.9</f>
        <v>99.9</v>
      </c>
      <c r="F28" s="25"/>
      <c r="G28" s="25"/>
      <c r="H28" s="25"/>
      <c r="I28" s="25"/>
      <c r="J28" s="23"/>
      <c r="K28" s="23"/>
      <c r="L28" s="23"/>
      <c r="M28" s="23"/>
      <c r="N28" s="23"/>
      <c r="O28" s="22">
        <f>SUM('2022_Despesa'!$C28:$N28)</f>
        <v>129.80000000000001</v>
      </c>
      <c r="S28" s="30"/>
    </row>
    <row r="29" spans="1:28" ht="15" customHeight="1">
      <c r="A29" s="19" t="s">
        <v>70</v>
      </c>
      <c r="B29" s="19" t="s">
        <v>31</v>
      </c>
      <c r="C29" s="25">
        <f>28.34</f>
        <v>28.34</v>
      </c>
      <c r="D29" s="25">
        <f>12.99</f>
        <v>12.99</v>
      </c>
      <c r="E29" s="25">
        <f>36.5+27.5</f>
        <v>64</v>
      </c>
      <c r="F29" s="25">
        <f>40</f>
        <v>40</v>
      </c>
      <c r="G29" s="25">
        <v>62</v>
      </c>
      <c r="H29" s="31"/>
      <c r="I29" s="23"/>
      <c r="J29" s="23"/>
      <c r="K29" s="23"/>
      <c r="L29" s="23"/>
      <c r="M29" s="25"/>
      <c r="N29" s="25"/>
      <c r="O29" s="22">
        <f>SUM('2022_Despesa'!$C29:$N29)</f>
        <v>207.32999999999998</v>
      </c>
    </row>
    <row r="30" spans="1:28" ht="15" customHeight="1">
      <c r="A30" s="17" t="s">
        <v>71</v>
      </c>
      <c r="B30" s="19" t="s">
        <v>31</v>
      </c>
      <c r="C30" s="25">
        <f>23.95</f>
        <v>23.95</v>
      </c>
      <c r="D30" s="25"/>
      <c r="E30" s="25"/>
      <c r="F30" s="31"/>
      <c r="G30" s="31"/>
      <c r="H30" s="25"/>
      <c r="I30" s="23"/>
      <c r="J30" s="25"/>
      <c r="K30" s="23"/>
      <c r="L30" s="23"/>
      <c r="M30" s="32"/>
      <c r="N30" s="23"/>
      <c r="O30" s="22">
        <f>SUM('2022_Despesa'!$C30:$N30)</f>
        <v>23.95</v>
      </c>
    </row>
    <row r="31" spans="1:28" ht="15" customHeight="1">
      <c r="A31" s="19" t="s">
        <v>72</v>
      </c>
      <c r="B31" s="19" t="s">
        <v>31</v>
      </c>
      <c r="C31" s="25"/>
      <c r="D31" s="25"/>
      <c r="E31" s="25"/>
      <c r="F31" s="25"/>
      <c r="G31" s="25"/>
      <c r="H31" s="25"/>
      <c r="I31" s="25"/>
      <c r="J31" s="23"/>
      <c r="K31" s="23"/>
      <c r="L31" s="23"/>
      <c r="M31" s="23"/>
      <c r="N31" s="23"/>
      <c r="O31" s="22">
        <f>SUM('2022_Despesa'!$C31:$N31)</f>
        <v>0</v>
      </c>
    </row>
    <row r="32" spans="1:28" ht="15" customHeight="1">
      <c r="A32" s="17" t="s">
        <v>73</v>
      </c>
      <c r="B32" s="19" t="s">
        <v>31</v>
      </c>
      <c r="C32" s="23"/>
      <c r="D32" s="23"/>
      <c r="E32" s="25">
        <f>30</f>
        <v>30</v>
      </c>
      <c r="F32" s="23"/>
      <c r="G32" s="25"/>
      <c r="H32" s="25">
        <f>269.8</f>
        <v>269.8</v>
      </c>
      <c r="I32" s="32"/>
      <c r="J32" s="32"/>
      <c r="K32" s="32"/>
      <c r="L32" s="23"/>
      <c r="M32" s="23"/>
      <c r="N32" s="23"/>
      <c r="O32" s="22">
        <f>SUM('2022_Despesa'!$C32:$N32)</f>
        <v>299.8</v>
      </c>
    </row>
    <row r="33" spans="1:15" ht="15" customHeight="1">
      <c r="A33" s="19" t="s">
        <v>107</v>
      </c>
      <c r="B33" s="19" t="s">
        <v>31</v>
      </c>
      <c r="C33" s="23"/>
      <c r="D33" s="23"/>
      <c r="E33" s="23"/>
      <c r="F33" s="23"/>
      <c r="G33" s="23"/>
      <c r="H33" s="25"/>
      <c r="I33" s="23"/>
      <c r="J33" s="23"/>
      <c r="K33" s="23"/>
      <c r="L33" s="23"/>
      <c r="M33" s="23"/>
      <c r="N33" s="23"/>
      <c r="O33" s="22">
        <f>SUM('2022_Despesa'!$C33:$N33)</f>
        <v>0</v>
      </c>
    </row>
    <row r="34" spans="1:15" ht="15" customHeight="1">
      <c r="A34" s="17" t="s">
        <v>75</v>
      </c>
      <c r="B34" s="19" t="s">
        <v>31</v>
      </c>
      <c r="C34" s="25">
        <f>12</f>
        <v>12</v>
      </c>
      <c r="D34" s="23"/>
      <c r="E34" s="23"/>
      <c r="F34" s="25">
        <f>99</f>
        <v>99</v>
      </c>
      <c r="G34" s="32"/>
      <c r="H34" s="32"/>
      <c r="I34" s="32"/>
      <c r="J34" s="23"/>
      <c r="K34" s="23"/>
      <c r="L34" s="23"/>
      <c r="M34" s="23"/>
      <c r="N34" s="23"/>
      <c r="O34" s="22">
        <f>SUM('2022_Despesa'!$C34:$N34)</f>
        <v>111</v>
      </c>
    </row>
    <row r="35" spans="1:15" ht="15" customHeight="1">
      <c r="A35" s="19" t="s">
        <v>108</v>
      </c>
      <c r="B35" s="29" t="s">
        <v>31</v>
      </c>
      <c r="C35" s="25">
        <f>125.4+1672+2002.35</f>
        <v>3799.75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2">
        <f>SUM('2022_Despesa'!$C35:$N35)</f>
        <v>3799.75</v>
      </c>
    </row>
    <row r="36" spans="1:15" ht="15" customHeight="1">
      <c r="A36" s="17" t="s">
        <v>109</v>
      </c>
      <c r="B36" s="29" t="s">
        <v>31</v>
      </c>
      <c r="C36" s="25">
        <f>25+25</f>
        <v>50</v>
      </c>
      <c r="D36" s="25">
        <f>29.5+47.99</f>
        <v>77.490000000000009</v>
      </c>
      <c r="E36" s="23"/>
      <c r="F36" s="25">
        <f>30.07+77+21.99+17.99+400</f>
        <v>547.04999999999995</v>
      </c>
      <c r="G36" s="23"/>
      <c r="H36" s="23"/>
      <c r="I36" s="32"/>
      <c r="J36" s="23"/>
      <c r="K36" s="23"/>
      <c r="L36" s="23"/>
      <c r="M36" s="23"/>
      <c r="N36" s="23"/>
      <c r="O36" s="22">
        <f>SUM('2022_Despesa'!$C36:$N36)</f>
        <v>674.54</v>
      </c>
    </row>
    <row r="37" spans="1:15" ht="15" customHeight="1">
      <c r="A37" s="19" t="s">
        <v>79</v>
      </c>
      <c r="B37" s="29" t="s">
        <v>31</v>
      </c>
      <c r="C37" s="25">
        <f>190+32.11+280+90+32.11</f>
        <v>624.22</v>
      </c>
      <c r="D37" s="25">
        <f>670+239.9+90</f>
        <v>999.9</v>
      </c>
      <c r="E37" s="25">
        <f>138+40+13.9+40.7+110+17+20.9+120+150</f>
        <v>650.5</v>
      </c>
      <c r="F37" s="23"/>
      <c r="G37" s="25">
        <f>60+625</f>
        <v>685</v>
      </c>
      <c r="H37" s="25">
        <f>100+167.4</f>
        <v>267.39999999999998</v>
      </c>
      <c r="I37" s="23"/>
      <c r="J37" s="23"/>
      <c r="K37" s="23"/>
      <c r="L37" s="23"/>
      <c r="M37" s="23"/>
      <c r="N37" s="23"/>
      <c r="O37" s="22">
        <f>SUM('2022_Despesa'!$C37:$N37)</f>
        <v>3227.02</v>
      </c>
    </row>
    <row r="38" spans="1:15" ht="15" customHeight="1">
      <c r="A38" s="19" t="s">
        <v>76</v>
      </c>
      <c r="B38" s="19" t="s">
        <v>31</v>
      </c>
      <c r="C38" s="23"/>
      <c r="D38" s="23"/>
      <c r="E38" s="25"/>
      <c r="F38" s="25">
        <f>60</f>
        <v>60</v>
      </c>
      <c r="G38" s="23"/>
      <c r="H38" s="23"/>
      <c r="I38" s="23"/>
      <c r="J38" s="23"/>
      <c r="K38" s="23"/>
      <c r="L38" s="23"/>
      <c r="M38" s="23"/>
      <c r="N38" s="23"/>
      <c r="O38" s="22">
        <f>SUM('2022_Despesa'!$C38:$N38)</f>
        <v>60</v>
      </c>
    </row>
    <row r="39" spans="1:15" ht="15" customHeight="1">
      <c r="A39" s="19" t="s">
        <v>110</v>
      </c>
      <c r="B39" s="29">
        <v>21</v>
      </c>
      <c r="C39" s="23"/>
      <c r="D39" s="25">
        <v>469</v>
      </c>
      <c r="E39" s="25">
        <v>469</v>
      </c>
      <c r="F39" s="25">
        <v>469</v>
      </c>
      <c r="G39" s="25">
        <v>469</v>
      </c>
      <c r="H39" s="23"/>
      <c r="I39" s="23"/>
      <c r="J39" s="23"/>
      <c r="K39" s="23"/>
      <c r="L39" s="23"/>
      <c r="M39" s="23"/>
      <c r="N39" s="23"/>
      <c r="O39" s="22">
        <f>SUM('2022_Despesa'!$C39:$N39)</f>
        <v>1876</v>
      </c>
    </row>
    <row r="40" spans="1:15" ht="15" customHeight="1">
      <c r="A40" s="19" t="s">
        <v>111</v>
      </c>
      <c r="B40" s="29">
        <v>10</v>
      </c>
      <c r="C40" s="25">
        <v>41.34</v>
      </c>
      <c r="D40" s="25">
        <v>37.28</v>
      </c>
      <c r="E40" s="25">
        <v>37.28</v>
      </c>
      <c r="F40" s="25">
        <v>37.28</v>
      </c>
      <c r="G40" s="25">
        <v>37.28</v>
      </c>
      <c r="H40" s="26">
        <v>37.28</v>
      </c>
      <c r="I40" s="26">
        <v>37.28</v>
      </c>
      <c r="J40" s="26">
        <v>37.28</v>
      </c>
      <c r="K40" s="26">
        <v>37.28</v>
      </c>
      <c r="L40" s="26">
        <v>37.28</v>
      </c>
      <c r="M40" s="23"/>
      <c r="N40" s="23"/>
      <c r="O40" s="22">
        <f>SUM('2022_Despesa'!$C40:$N40)</f>
        <v>376.8599999999999</v>
      </c>
    </row>
    <row r="41" spans="1:15" ht="15" customHeight="1">
      <c r="A41" s="19" t="s">
        <v>112</v>
      </c>
      <c r="B41" s="29">
        <v>15</v>
      </c>
      <c r="C41" s="26"/>
      <c r="D41" s="25">
        <v>19.12</v>
      </c>
      <c r="E41" s="25">
        <v>19.12</v>
      </c>
      <c r="F41" s="25">
        <v>19.12</v>
      </c>
      <c r="G41" s="25">
        <v>19.12</v>
      </c>
      <c r="H41" s="26">
        <v>19.12</v>
      </c>
      <c r="I41" s="26">
        <v>19.12</v>
      </c>
      <c r="J41" s="26">
        <v>19.12</v>
      </c>
      <c r="K41" s="26">
        <v>19.12</v>
      </c>
      <c r="L41" s="26">
        <v>19.12</v>
      </c>
      <c r="M41" s="26">
        <v>19.12</v>
      </c>
      <c r="N41" s="26">
        <v>19.12</v>
      </c>
      <c r="O41" s="22">
        <f>SUM('2022_Despesa'!$C41:$N41)</f>
        <v>210.32000000000002</v>
      </c>
    </row>
    <row r="42" spans="1:15" ht="15" customHeight="1">
      <c r="A42" s="19" t="s">
        <v>113</v>
      </c>
      <c r="B42" s="29" t="s">
        <v>31</v>
      </c>
      <c r="C42" s="25">
        <v>1600</v>
      </c>
      <c r="D42" s="25">
        <f>1600+1000</f>
        <v>2600</v>
      </c>
      <c r="E42" s="25">
        <f>980</f>
        <v>980</v>
      </c>
      <c r="F42" s="23"/>
      <c r="G42" s="23"/>
      <c r="H42" s="23"/>
      <c r="I42" s="23"/>
      <c r="J42" s="23"/>
      <c r="K42" s="23"/>
      <c r="L42" s="23"/>
      <c r="M42" s="23"/>
      <c r="N42" s="23"/>
      <c r="O42" s="22">
        <f>SUM('2022_Despesa'!$C42:$N42)</f>
        <v>5180</v>
      </c>
    </row>
    <row r="43" spans="1:15" ht="15" customHeight="1">
      <c r="A43" s="19" t="s">
        <v>114</v>
      </c>
      <c r="B43" s="29" t="s">
        <v>31</v>
      </c>
      <c r="C43" s="23"/>
      <c r="D43" s="25">
        <v>375</v>
      </c>
      <c r="E43" s="23"/>
      <c r="F43" s="23"/>
      <c r="G43" s="23"/>
      <c r="H43" s="25">
        <f>120</f>
        <v>120</v>
      </c>
      <c r="I43" s="23"/>
      <c r="J43" s="23"/>
      <c r="K43" s="23"/>
      <c r="L43" s="23"/>
      <c r="M43" s="23"/>
      <c r="N43" s="23"/>
      <c r="O43" s="22">
        <f>SUM('2022_Despesa'!$C43:$N43)</f>
        <v>495</v>
      </c>
    </row>
    <row r="44" spans="1:15" ht="15" customHeight="1">
      <c r="A44" s="17" t="s">
        <v>115</v>
      </c>
      <c r="B44" s="29" t="s">
        <v>31</v>
      </c>
      <c r="C44" s="23"/>
      <c r="D44" s="23"/>
      <c r="E44" s="25">
        <f>1796</f>
        <v>1796</v>
      </c>
      <c r="F44" s="23"/>
      <c r="G44" s="23"/>
      <c r="H44" s="23"/>
      <c r="I44" s="23"/>
      <c r="J44" s="23"/>
      <c r="K44" s="23"/>
      <c r="L44" s="23"/>
      <c r="M44" s="23"/>
      <c r="N44" s="23"/>
      <c r="O44" s="22">
        <f>SUM('2022_Despesa'!$C44:$N44)</f>
        <v>1796</v>
      </c>
    </row>
    <row r="45" spans="1:15">
      <c r="A45" s="19" t="s">
        <v>58</v>
      </c>
      <c r="C45" s="24">
        <f>SUBTOTAL(109,Despesas63[Jan])</f>
        <v>10336.280000000001</v>
      </c>
      <c r="D45" s="24">
        <f>SUBTOTAL(109,Despesas63[Fev])</f>
        <v>8985.34</v>
      </c>
      <c r="E45" s="24">
        <f>SUBTOTAL(109,Despesas63[Mar])</f>
        <v>8834.3649999999998</v>
      </c>
      <c r="F45" s="24">
        <f>SUBTOTAL(109,Despesas63[Abr])</f>
        <v>5852.75</v>
      </c>
      <c r="G45" s="24">
        <f>SUBTOTAL(109,Despesas63[Mai])</f>
        <v>5349.4</v>
      </c>
      <c r="H45" s="24">
        <f>SUBTOTAL(109,Despesas63[Jun])</f>
        <v>4118.63</v>
      </c>
      <c r="I45" s="24">
        <f>SUBTOTAL(109,Despesas63[Jul])</f>
        <v>3477.7299999999996</v>
      </c>
      <c r="J45" s="24">
        <f>SUBTOTAL(109,Despesas63[Ago])</f>
        <v>3443.8199999999997</v>
      </c>
      <c r="K45" s="24">
        <f>SUBTOTAL(109,Despesas63[Set])</f>
        <v>3439.8199999999997</v>
      </c>
      <c r="L45" s="24">
        <f>SUBTOTAL(109,Despesas63[Out])</f>
        <v>3269.88</v>
      </c>
      <c r="M45" s="24">
        <f>SUBTOTAL(109,Despesas63[Nov])</f>
        <v>3228.6</v>
      </c>
      <c r="N45" s="24">
        <f>SUBTOTAL(109,Despesas63[Dez])</f>
        <v>3192.95</v>
      </c>
      <c r="O45" s="24">
        <f>SUBTOTAL(109,Despesas63[Ano])</f>
        <v>63529.565000000002</v>
      </c>
    </row>
    <row r="47" spans="1:15">
      <c r="A47" s="19" t="s">
        <v>116</v>
      </c>
    </row>
    <row r="48" spans="1:15">
      <c r="A48" s="19" t="s">
        <v>117</v>
      </c>
      <c r="B48" t="s">
        <v>118</v>
      </c>
      <c r="K48" s="30"/>
    </row>
    <row r="49" spans="1:14">
      <c r="A49" s="19">
        <v>47996981639</v>
      </c>
      <c r="B49" t="s">
        <v>119</v>
      </c>
    </row>
    <row r="50" spans="1:14" ht="30">
      <c r="A50" s="38" t="s">
        <v>120</v>
      </c>
      <c r="B50" t="s">
        <v>121</v>
      </c>
      <c r="H50" s="30"/>
      <c r="I50" s="30"/>
    </row>
    <row r="51" spans="1:14" ht="30" customHeight="1">
      <c r="A51" s="39"/>
      <c r="B51" s="39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>
      <c r="A52" s="2"/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 t="s">
        <v>8</v>
      </c>
      <c r="H52" s="1" t="s">
        <v>9</v>
      </c>
      <c r="I52" s="1" t="s">
        <v>10</v>
      </c>
      <c r="J52" s="1" t="s">
        <v>11</v>
      </c>
      <c r="K52" s="1" t="s">
        <v>12</v>
      </c>
      <c r="L52" s="1" t="s">
        <v>13</v>
      </c>
      <c r="M52" s="1" t="s">
        <v>14</v>
      </c>
      <c r="N52" s="1" t="s">
        <v>15</v>
      </c>
    </row>
    <row r="53" spans="1:14" ht="15" customHeight="1">
      <c r="A53" s="20" t="s">
        <v>59</v>
      </c>
      <c r="B53" s="6">
        <f>Despesas6[[#Totals],[Jan]]</f>
        <v>2966.16</v>
      </c>
      <c r="C53" s="6">
        <f>Despesas6[[#Totals],[Fev]]</f>
        <v>2409.08</v>
      </c>
      <c r="D53" s="6">
        <f>Despesas6[[#Totals],[Mar]]</f>
        <v>2281.27</v>
      </c>
      <c r="E53" s="6">
        <f>Despesas6[[#Totals],[Abr]]</f>
        <v>2626.0699999999997</v>
      </c>
      <c r="F53" s="6">
        <f>Despesas6[[#Totals],[Mai]]</f>
        <v>3143.34</v>
      </c>
      <c r="G53" s="6">
        <f>Despesas6[[#Totals],[Jun]]</f>
        <v>3253.45</v>
      </c>
      <c r="H53" s="6">
        <f>Despesas6[[#Totals],[Jul]]</f>
        <v>3089.69</v>
      </c>
      <c r="I53" s="6">
        <f>Despesas6[[#Totals],[Ago]]</f>
        <v>3129.15</v>
      </c>
      <c r="J53" s="6">
        <f>Despesas6[[#Totals],[Set]]</f>
        <v>3304.12</v>
      </c>
      <c r="K53" s="6">
        <f>Despesas6[[#Totals],[Out]]</f>
        <v>16222.82</v>
      </c>
      <c r="L53" s="6">
        <f>Despesas6[[#Totals],[Nov]]</f>
        <v>3489.4900000000002</v>
      </c>
      <c r="M53" s="6">
        <f>Despesas6[[#Totals],[Dez]]</f>
        <v>26569.5</v>
      </c>
      <c r="N53" s="7">
        <f>SUM(B53:M53)</f>
        <v>72484.139999999985</v>
      </c>
    </row>
    <row r="54" spans="1:14" ht="15" customHeight="1">
      <c r="A54" s="19" t="s">
        <v>60</v>
      </c>
      <c r="B54" s="8">
        <f>SUM(Renda578[[#Totals],[Jan]]-B53)</f>
        <v>1545.5500000000002</v>
      </c>
      <c r="C54" s="8">
        <f>SUM(Renda578[[#Totals],[Fev]]-C53)</f>
        <v>11278.639999999998</v>
      </c>
      <c r="D54" s="8">
        <f>SUM(Renda578[[#Totals],[Mar]]-D53)</f>
        <v>2418.73</v>
      </c>
      <c r="E54" s="8">
        <f>SUM(Renda578[[#Totals],[Abr]]-E53)</f>
        <v>2260.9300000000003</v>
      </c>
      <c r="F54" s="8">
        <f>SUM(Renda578[[#Totals],[Mai]]-F53)</f>
        <v>2306.66</v>
      </c>
      <c r="G54" s="8">
        <f>SUM(Renda578[[#Totals],[Jun]]-G53)</f>
        <v>-3253.45</v>
      </c>
      <c r="H54" s="8">
        <f>SUM(Renda578[[#Totals],[Jul]]-H53)</f>
        <v>-3089.69</v>
      </c>
      <c r="I54" s="8">
        <f>SUM(Renda578[[#Totals],[Ago]]-I53)</f>
        <v>-3129.15</v>
      </c>
      <c r="J54" s="8">
        <f>SUM(Renda578[[#Totals],[Set]]-J53)</f>
        <v>-3304.12</v>
      </c>
      <c r="K54" s="8">
        <f>SUM(Renda578[[#Totals],[Out]]-K53)</f>
        <v>-16222.82</v>
      </c>
      <c r="L54" s="8">
        <f>SUM(Renda578[[#Totals],[Nov]]-L53)</f>
        <v>-3489.4900000000002</v>
      </c>
      <c r="M54" s="8">
        <f>SUM(Renda578[[#Totals],[Dez]]-M53)</f>
        <v>-26569.5</v>
      </c>
      <c r="N54" s="8">
        <f>SUM(B54:M54)</f>
        <v>-39247.71</v>
      </c>
    </row>
    <row r="55" spans="1:14" ht="15" customHeight="1">
      <c r="A55" s="14" t="s">
        <v>61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5" customHeight="1">
      <c r="A56" s="15" t="s">
        <v>1</v>
      </c>
      <c r="B56" s="5" t="s">
        <v>3</v>
      </c>
      <c r="C56" s="4" t="s">
        <v>4</v>
      </c>
      <c r="D56" s="4" t="s">
        <v>5</v>
      </c>
      <c r="E56" s="4" t="s">
        <v>6</v>
      </c>
      <c r="F56" s="4" t="s">
        <v>7</v>
      </c>
      <c r="G56" s="4" t="s">
        <v>8</v>
      </c>
      <c r="H56" s="4" t="s">
        <v>9</v>
      </c>
      <c r="I56" s="4" t="s">
        <v>10</v>
      </c>
      <c r="J56" s="4" t="s">
        <v>11</v>
      </c>
      <c r="K56" s="4" t="s">
        <v>12</v>
      </c>
      <c r="L56" s="4" t="s">
        <v>13</v>
      </c>
      <c r="M56" s="4" t="s">
        <v>14</v>
      </c>
      <c r="N56" s="4" t="s">
        <v>15</v>
      </c>
    </row>
    <row r="57" spans="1:14" ht="15" customHeight="1">
      <c r="A57" s="19" t="s">
        <v>89</v>
      </c>
      <c r="B57" s="8">
        <v>611.71</v>
      </c>
      <c r="C57" s="8">
        <f>1202.22+3231.06</f>
        <v>4433.28</v>
      </c>
      <c r="D57" s="8">
        <v>2700</v>
      </c>
      <c r="E57" s="8">
        <v>2700</v>
      </c>
      <c r="F57" s="8">
        <v>2700</v>
      </c>
      <c r="G57" s="8"/>
      <c r="H57" s="8"/>
      <c r="I57" s="8"/>
      <c r="J57" s="8"/>
      <c r="K57" s="8"/>
      <c r="L57" s="8"/>
      <c r="M57" s="8"/>
      <c r="N57" s="9">
        <f>SUM(Renda578[[#This Row],[Jan]:[Dez]])</f>
        <v>13144.99</v>
      </c>
    </row>
    <row r="58" spans="1:14" ht="15" customHeight="1">
      <c r="A58" s="19" t="s">
        <v>63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9">
        <f>SUM(Renda578[[#This Row],[Jan]:[Dez]])</f>
        <v>0</v>
      </c>
    </row>
    <row r="59" spans="1:14" ht="15" customHeight="1">
      <c r="A59" s="19" t="s">
        <v>122</v>
      </c>
      <c r="B59" s="8"/>
      <c r="C59" s="8">
        <f>4466.45+4557.99</f>
        <v>9024.4399999999987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9">
        <f>SUM(Renda578[[#This Row],[Jan]:[Dez]])</f>
        <v>9024.4399999999987</v>
      </c>
    </row>
    <row r="60" spans="1:14" ht="15" customHeight="1">
      <c r="A60" s="19" t="s">
        <v>123</v>
      </c>
      <c r="B60" s="8">
        <f>650+550+700</f>
        <v>1900</v>
      </c>
      <c r="C60" s="8">
        <f>230</f>
        <v>230</v>
      </c>
      <c r="D60" s="8"/>
      <c r="E60" s="8">
        <v>100</v>
      </c>
      <c r="F60" s="8">
        <f>200+450</f>
        <v>650</v>
      </c>
      <c r="G60" s="8"/>
      <c r="H60" s="8"/>
      <c r="I60" s="8"/>
      <c r="J60" s="8"/>
      <c r="K60" s="8"/>
      <c r="L60" s="8"/>
      <c r="M60" s="8"/>
      <c r="N60" s="9">
        <f>SUM(Renda578[[#This Row],[Jan]:[Dez]])</f>
        <v>2880</v>
      </c>
    </row>
    <row r="61" spans="1:14" ht="15" customHeight="1">
      <c r="A61" s="19" t="s">
        <v>124</v>
      </c>
      <c r="B61" s="8"/>
      <c r="C61" s="8"/>
      <c r="D61" s="8"/>
      <c r="E61" s="8">
        <v>2087</v>
      </c>
      <c r="F61" s="8">
        <v>2100</v>
      </c>
      <c r="G61" s="8"/>
      <c r="H61" s="8"/>
      <c r="I61" s="8"/>
      <c r="J61" s="8"/>
      <c r="K61" s="8"/>
      <c r="L61" s="8"/>
      <c r="M61" s="8"/>
      <c r="N61" s="9">
        <f>SUM(Renda578[[#This Row],[Jan]:[Dez]])</f>
        <v>4187</v>
      </c>
    </row>
    <row r="62" spans="1:14" ht="15" customHeight="1">
      <c r="A62" s="19" t="s">
        <v>90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9">
        <f>SUM(Renda578[[#This Row],[Jan]:[Dez]])</f>
        <v>0</v>
      </c>
    </row>
    <row r="63" spans="1:14">
      <c r="A63" s="19" t="s">
        <v>91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9">
        <f>SUM(Renda578[[#This Row],[Jan]:[Dez]])</f>
        <v>0</v>
      </c>
    </row>
    <row r="64" spans="1:14">
      <c r="A64" s="19" t="s">
        <v>92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9">
        <f>SUM(Renda578[[#This Row],[Jan]:[Dez]])</f>
        <v>0</v>
      </c>
    </row>
    <row r="65" spans="1:26">
      <c r="A65" s="19" t="s">
        <v>57</v>
      </c>
      <c r="B65" s="8">
        <v>2000</v>
      </c>
      <c r="C65" s="33"/>
      <c r="D65" s="8">
        <v>2000</v>
      </c>
      <c r="E65" s="8"/>
      <c r="F65" s="8"/>
      <c r="G65" s="8"/>
      <c r="H65" s="8"/>
      <c r="I65" s="8"/>
      <c r="J65" s="8"/>
      <c r="K65" s="8"/>
      <c r="L65" s="8"/>
      <c r="M65" s="8"/>
      <c r="N65" s="9">
        <f>SUM(Renda578[[#This Row],[Jan]:[Dez]])</f>
        <v>4000</v>
      </c>
    </row>
    <row r="66" spans="1:26">
      <c r="A66" s="19" t="s">
        <v>58</v>
      </c>
      <c r="B66" s="10">
        <f>SUBTOTAL(109,Renda578[Jan])</f>
        <v>4511.71</v>
      </c>
      <c r="C66" s="10">
        <f>SUBTOTAL(109,Renda578[Fev])</f>
        <v>13687.719999999998</v>
      </c>
      <c r="D66" s="10">
        <f>SUBTOTAL(109,Renda578[Mar])</f>
        <v>4700</v>
      </c>
      <c r="E66" s="10">
        <f>SUBTOTAL(109,Renda578[Abr])</f>
        <v>4887</v>
      </c>
      <c r="F66" s="10">
        <f>SUBTOTAL(109,Renda578[Mai])</f>
        <v>5450</v>
      </c>
      <c r="G66" s="10">
        <f>SUBTOTAL(109,Renda578[Jun])</f>
        <v>0</v>
      </c>
      <c r="H66" s="10">
        <f>SUBTOTAL(109,Renda578[Jul])</f>
        <v>0</v>
      </c>
      <c r="I66" s="10">
        <f>SUBTOTAL(109,Renda578[Ago])</f>
        <v>0</v>
      </c>
      <c r="J66" s="10">
        <f>SUBTOTAL(109,Renda578[Set])</f>
        <v>0</v>
      </c>
      <c r="K66" s="10">
        <f>SUBTOTAL(109,Renda578[Out])</f>
        <v>0</v>
      </c>
      <c r="L66" s="10">
        <f>SUBTOTAL(109,Renda578[Nov])</f>
        <v>0</v>
      </c>
      <c r="M66" s="10">
        <f>SUBTOTAL(109,Renda578[Dez])</f>
        <v>0</v>
      </c>
      <c r="N66" s="11">
        <f>SUBTOTAL(109,Renda578[Ano])</f>
        <v>33236.43</v>
      </c>
    </row>
    <row r="69" spans="1:26">
      <c r="A69" s="40" t="s">
        <v>93</v>
      </c>
      <c r="B69" s="40"/>
      <c r="C69" s="37">
        <v>44608</v>
      </c>
      <c r="E69" s="40" t="s">
        <v>94</v>
      </c>
      <c r="F69" s="40"/>
      <c r="H69" s="12"/>
    </row>
    <row r="71" spans="1:26" ht="30">
      <c r="A71" s="19" t="s">
        <v>95</v>
      </c>
      <c r="B71" s="36">
        <v>711.97</v>
      </c>
      <c r="E71" s="19" t="s">
        <v>95</v>
      </c>
      <c r="F71">
        <v>0</v>
      </c>
      <c r="I71" s="30"/>
    </row>
    <row r="72" spans="1:26">
      <c r="A72" s="19" t="s">
        <v>96</v>
      </c>
      <c r="B72" s="36">
        <v>6597.78</v>
      </c>
    </row>
    <row r="73" spans="1:26">
      <c r="A73" s="19" t="s">
        <v>97</v>
      </c>
      <c r="B73" s="36">
        <v>2524.0500000000002</v>
      </c>
      <c r="H73" s="30"/>
    </row>
    <row r="74" spans="1:26">
      <c r="A74" s="19" t="s">
        <v>98</v>
      </c>
      <c r="B74" s="36">
        <v>0</v>
      </c>
    </row>
    <row r="75" spans="1:26">
      <c r="A75" s="19" t="s">
        <v>99</v>
      </c>
      <c r="B75" s="36">
        <v>60.66</v>
      </c>
    </row>
    <row r="76" spans="1:26">
      <c r="A76" s="19" t="s">
        <v>100</v>
      </c>
      <c r="B76" s="36">
        <v>324.11</v>
      </c>
      <c r="E76" s="30"/>
    </row>
    <row r="77" spans="1:26">
      <c r="A77" s="19" t="s">
        <v>125</v>
      </c>
      <c r="B77" s="36">
        <v>1000</v>
      </c>
      <c r="Z77" s="30"/>
    </row>
    <row r="78" spans="1:26">
      <c r="B78" s="36"/>
    </row>
    <row r="79" spans="1:26">
      <c r="B79" s="36"/>
    </row>
    <row r="80" spans="1:26">
      <c r="B80" s="36"/>
    </row>
    <row r="81" spans="1:10">
      <c r="A81" s="19" t="s">
        <v>58</v>
      </c>
      <c r="B81" s="36">
        <f>B71+B72+B73+B74+B75+B76</f>
        <v>10218.57</v>
      </c>
      <c r="E81" t="s">
        <v>126</v>
      </c>
      <c r="F81" s="36">
        <f>B81+F71</f>
        <v>10218.57</v>
      </c>
      <c r="J81">
        <f>18+12</f>
        <v>30</v>
      </c>
    </row>
    <row r="82" spans="1:10">
      <c r="J82">
        <v>20</v>
      </c>
    </row>
    <row r="83" spans="1:10">
      <c r="A83" s="19" t="s">
        <v>127</v>
      </c>
      <c r="B83" s="36">
        <f>B77+B81</f>
        <v>11218.57</v>
      </c>
    </row>
  </sheetData>
  <mergeCells count="3">
    <mergeCell ref="A51:B51"/>
    <mergeCell ref="A69:B69"/>
    <mergeCell ref="E69:F69"/>
  </mergeCells>
  <conditionalFormatting sqref="B54:M54">
    <cfRule type="iconSet" priority="2">
      <iconSet iconSet="3Arrows">
        <cfvo type="percentile" val="0"/>
        <cfvo type="num" val="0"/>
        <cfvo type="num" val="1"/>
      </iconSet>
    </cfRule>
  </conditionalFormatting>
  <conditionalFormatting sqref="N54">
    <cfRule type="iconSet" priority="1">
      <iconSet iconSet="3Arrows">
        <cfvo type="percentile" val="0"/>
        <cfvo type="num" val="0"/>
        <cfvo type="num" val="1"/>
      </iconSet>
    </cfRule>
  </conditionalFormatting>
  <dataValidations count="14">
    <dataValidation allowBlank="1" showInputMessage="1" showErrorMessage="1" prompt="O título desta planilha está nesta célula." sqref="A51:B51" xr:uid="{E0CD6B1B-C472-4A57-B0F6-75C9FC4C0DB5}"/>
    <dataValidation allowBlank="1" showInputMessage="1" showErrorMessage="1" prompt="Insira as despesas na tabela abaixo" sqref="A1" xr:uid="{CD1CCA0F-38E4-4373-99A4-6CF7CC963FDA}"/>
    <dataValidation allowBlank="1" showInputMessage="1" showErrorMessage="1" prompt="Insira a Subcategoria na coluna sob este cabeçalho" sqref="B2" xr:uid="{5D32B10C-F962-4CD3-A9BA-59094111F9AB}"/>
    <dataValidation allowBlank="1" showInputMessage="1" showErrorMessage="1" prompt="Insira as despesas deste mês na coluna sob este cabeçalho" sqref="C2:N2" xr:uid="{35A6E892-0093-452C-8A01-BFF64B97F8C5}"/>
    <dataValidation allowBlank="1" showInputMessage="1" showErrorMessage="1" prompt="As despesas anuais são calculadas automaticamente na coluna sob este cabeçalho" sqref="O2" xr:uid="{883601E7-C04F-48B0-8417-71EBA2860B2B}"/>
    <dataValidation allowBlank="1" showInputMessage="1" showErrorMessage="1" prompt="Selecione a Categoria na coluna sob este cabeçalho. Pressione Alt+Seta para baixo para abrir a lista suspensa e depois Enter para fazer a seleção" sqref="A2" xr:uid="{AA55E623-2FA4-413D-A864-997685E5C6E5}"/>
    <dataValidation allowBlank="1" showInputMessage="1" showErrorMessage="1" prompt="Insira a renda deste mês na coluna sob este cabeçalho" sqref="B56:M56" xr:uid="{4B7E1420-68F8-4435-99AF-155D8029CFF6}"/>
    <dataValidation allowBlank="1" showInputMessage="1" showErrorMessage="1" prompt="As Rendas anuais são calculadas automaticamente na coluna sob este cabeçalho" sqref="N56" xr:uid="{52A5FB2B-219F-4F01-B122-8AB67E7A5652}"/>
    <dataValidation allowBlank="1" showInputMessage="1" showErrorMessage="1" prompt="Insira a Categoria na coluna sob este cabeçalho. Use os filtros de cabeçalho para localizar itens específicos." sqref="A56" xr:uid="{B06459D5-1572-4697-A484-C633B65C0243}"/>
    <dataValidation allowBlank="1" showInputMessage="1" showErrorMessage="1" prompt="Insira os Detalhes da renda na tabela abaixo" sqref="A55" xr:uid="{9FBD164B-B4D3-402A-BC39-299348A8AFD2}"/>
    <dataValidation allowBlank="1" showInputMessage="1" showErrorMessage="1" prompt="A falta ou o excedente de dinheiro são calculados automaticamente nas células à direita com a respectiva atualização dos ícones" sqref="A54" xr:uid="{A882D361-3451-488C-A08D-C0AF4C66E06A}"/>
    <dataValidation allowBlank="1" showInputMessage="1" showErrorMessage="1" prompt="As despesas totais são calculadas automaticamente nas células à direita" sqref="A53" xr:uid="{B0D5EFAC-3EF0-4621-9302-F1E2D38DFABF}"/>
    <dataValidation allowBlank="1" showInputMessage="1" showErrorMessage="1" prompt="Os meses estão nas células à direita. As Despesas totais e a Falta ou excedente de dinheiro são calculados automaticamente nas células C3 a O4 abaixo" sqref="A52" xr:uid="{CDFE5C45-3274-4A2B-83E9-3FC5628A6224}"/>
    <dataValidation errorStyle="warning" allowBlank="1" showInputMessage="1" showErrorMessage="1" error="Selecione a Categoria na lista. Selecione CANCELAR, pressione Alt+Seta para baixo para ver as opções e depois Seta para baixo e Enter para fazer a seleção" sqref="A3:B44" xr:uid="{864FD3D8-E007-4C6E-A394-48FDC92F8B29}"/>
  </dataValidations>
  <hyperlinks>
    <hyperlink ref="A50" r:id="rId1" xr:uid="{64175C38-1C65-44A6-8567-9229E3030204}"/>
  </hyperlinks>
  <pageMargins left="0.7" right="0.7" top="0.75" bottom="0.75" header="0.3" footer="0.3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TM16400272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2020_Despesa</vt:lpstr>
      <vt:lpstr>2021_Despesa</vt:lpstr>
      <vt:lpstr>2022_Despesa</vt:lpstr>
      <vt:lpstr>Título2</vt:lpstr>
      <vt:lpstr>'2020_Despesa'!Titulos_de_impressao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</dc:creator>
  <cp:keywords/>
  <dc:description/>
  <cp:lastModifiedBy>MILLER LESSA</cp:lastModifiedBy>
  <cp:revision/>
  <dcterms:created xsi:type="dcterms:W3CDTF">2018-02-27T04:55:40Z</dcterms:created>
  <dcterms:modified xsi:type="dcterms:W3CDTF">2022-06-13T17:06:20Z</dcterms:modified>
  <cp:category/>
  <cp:contentStatus/>
</cp:coreProperties>
</file>